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lance Sheet" sheetId="1" r:id="rId3"/>
    <sheet state="visible" name="Profit and Loss" sheetId="2" r:id="rId4"/>
    <sheet state="visible" name="Statement of Cash Flows" sheetId="3" r:id="rId5"/>
    <sheet state="visible" name="PL - Bookkeeper" sheetId="4" r:id="rId6"/>
    <sheet state="visible" name="PL - Account" sheetId="5" r:id="rId7"/>
    <sheet state="visible" name="BS - Account" sheetId="6" r:id="rId8"/>
    <sheet state="visible" name="BS - Mastercard" sheetId="7" r:id="rId9"/>
  </sheets>
  <definedNames/>
  <calcPr/>
</workbook>
</file>

<file path=xl/sharedStrings.xml><?xml version="1.0" encoding="utf-8"?>
<sst xmlns="http://schemas.openxmlformats.org/spreadsheetml/2006/main" count="165" uniqueCount="140">
  <si>
    <t>Craig's Design and Landscaping Services</t>
  </si>
  <si>
    <t>Balance Sheet</t>
  </si>
  <si>
    <t>As of May 31, 2017</t>
  </si>
  <si>
    <t>ASSETS</t>
  </si>
  <si>
    <t xml:space="preserve">   Current Assets</t>
  </si>
  <si>
    <t xml:space="preserve">      Bank Accounts</t>
  </si>
  <si>
    <t xml:space="preserve">         Checking</t>
  </si>
  <si>
    <t xml:space="preserve">         Savings</t>
  </si>
  <si>
    <t xml:space="preserve">      Total Bank Accounts</t>
  </si>
  <si>
    <t xml:space="preserve">      Accounts Receivable</t>
  </si>
  <si>
    <t xml:space="preserve">         Accounts Receivable (A/R)</t>
  </si>
  <si>
    <t xml:space="preserve">      Total Accounts Receivable</t>
  </si>
  <si>
    <t xml:space="preserve">      Other Current Assets</t>
  </si>
  <si>
    <t xml:space="preserve">         Inventory Asset</t>
  </si>
  <si>
    <t xml:space="preserve">         Undeposited Funds</t>
  </si>
  <si>
    <t xml:space="preserve">      Total Other Current Assets</t>
  </si>
  <si>
    <t xml:space="preserve">   Total Current Assets</t>
  </si>
  <si>
    <t xml:space="preserve">   Fixed Assets</t>
  </si>
  <si>
    <t xml:space="preserve">      Truck</t>
  </si>
  <si>
    <t xml:space="preserve">         Original Cost</t>
  </si>
  <si>
    <t xml:space="preserve">      Total Truck</t>
  </si>
  <si>
    <t xml:space="preserve">   Total Fixed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</si>
  <si>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</si>
  <si>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</si>
  <si>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</si>
  <si>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</si>
  <si>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</si>
  <si>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Accounts Payable (A/P)</t>
  </si>
  <si>
    <t xml:space="preserve">         Total Accounts Payable</t>
  </si>
  <si>
    <t xml:space="preserve">         Credit Cards</t>
  </si>
  <si>
    <t xml:space="preserve">            Mastercard</t>
  </si>
  <si>
    <t xml:space="preserve">         Total Credit Cards</t>
  </si>
  <si>
    <t xml:space="preserve">         Other Current Liabilities</t>
  </si>
  <si>
    <t xml:space="preserve">            Arizona Dept. of Revenue Payable</t>
  </si>
  <si>
    <t xml:space="preserve">            Board of Equalization Payable</t>
  </si>
  <si>
    <t xml:space="preserve">            Loan Payable</t>
  </si>
  <si>
    <t xml:space="preserve">         Total Other Current Liabilities</t>
  </si>
  <si>
    <t xml:space="preserve">      Total Current Liabilities</t>
  </si>
  <si>
    <t xml:space="preserve">      Long-Term Liabilities</t>
  </si>
  <si>
    <t xml:space="preserve">         Notes Payable</t>
  </si>
  <si>
    <t xml:space="preserve">      Total Long-Term Liabilities</t>
  </si>
  <si>
    <t xml:space="preserve">   Total Liabilities</t>
  </si>
  <si>
    <t xml:space="preserve">   Equity</t>
  </si>
  <si>
    <t xml:space="preserve">      Opening Balance Equity</t>
  </si>
  <si>
    <t xml:space="preserve">      Retained Earnings</t>
  </si>
  <si>
    <t xml:space="preserve">      Net Income</t>
  </si>
  <si>
    <t xml:space="preserve">   Total Equity</t>
  </si>
  <si>
    <t>TOTAL LIABILITIES AND EQUITY</t>
  </si>
  <si>
    <t>Balance check</t>
  </si>
  <si>
    <t>Profit and Loss</t>
  </si>
  <si>
    <t>January - May, 2017</t>
  </si>
  <si>
    <t>Income</t>
  </si>
  <si>
    <t xml:space="preserve">   Design income</t>
  </si>
  <si>
    <t xml:space="preserve">   Discounts given</t>
  </si>
  <si>
    <t xml:space="preserve">   Landscaping Services</t>
  </si>
  <si>
    <t xml:space="preserve">      Job Materials</t>
  </si>
  <si>
    <t xml:space="preserve">         Fountains and Garden Lighting</t>
  </si>
  <si>
    <t xml:space="preserve">         Plants and Soil</t>
  </si>
  <si>
    <t xml:space="preserve">         Sprinklers and Drip Systems</t>
  </si>
  <si>
    <t xml:space="preserve">      Total Job Materials</t>
  </si>
  <si>
    <t xml:space="preserve">      Labor</t>
  </si>
  <si>
    <t xml:space="preserve">         Installation</t>
  </si>
  <si>
    <t xml:space="preserve">         Maintenance and Repair</t>
  </si>
  <si>
    <t xml:space="preserve">      Total Labor</t>
  </si>
  <si>
    <t xml:space="preserve">   Total Landscaping Services</t>
  </si>
  <si>
    <t xml:space="preserve">   Pest Control Services</t>
  </si>
  <si>
    <t xml:space="preserve">   Sales of Product Income</t>
  </si>
  <si>
    <t xml:space="preserve">   Services</t>
  </si>
  <si>
    <t>Total Income</t>
  </si>
  <si>
    <t>Cost of Goods Sold</t>
  </si>
  <si>
    <t xml:space="preserve">   Cost of Goods Sold</t>
  </si>
  <si>
    <t>Total Cost of Goods Sold</t>
  </si>
  <si>
    <t>Gross Profit</t>
  </si>
  <si>
    <t>Expenses</t>
  </si>
  <si>
    <t xml:space="preserve">   Advertising</t>
  </si>
  <si>
    <t xml:space="preserve">   Automobile</t>
  </si>
  <si>
    <t xml:space="preserve">      Fuel</t>
  </si>
  <si>
    <t xml:space="preserve">   Total Automobile</t>
  </si>
  <si>
    <t xml:space="preserve">   Equipment Rental</t>
  </si>
  <si>
    <t xml:space="preserve">   Insurance</t>
  </si>
  <si>
    <t xml:space="preserve">   Job Expenses</t>
  </si>
  <si>
    <t xml:space="preserve">         Decks and Patios</t>
  </si>
  <si>
    <t xml:space="preserve">   Total Job Expenses</t>
  </si>
  <si>
    <t xml:space="preserve">   Legal &amp; Professional Fees</t>
  </si>
  <si>
    <t xml:space="preserve">      Accounting</t>
  </si>
  <si>
    <t xml:space="preserve">      Bookkeeper</t>
  </si>
  <si>
    <t xml:space="preserve">      Lawyer</t>
  </si>
  <si>
    <t xml:space="preserve">   Total Legal &amp; Professional Fees</t>
  </si>
  <si>
    <t xml:space="preserve">   Maintenance and Repair</t>
  </si>
  <si>
    <t xml:space="preserve">      Equipment Repairs</t>
  </si>
  <si>
    <t xml:space="preserve">   Total Maintenance and Repair</t>
  </si>
  <si>
    <t xml:space="preserve">   Meals and Entertainment</t>
  </si>
  <si>
    <t xml:space="preserve">   Office Expenses</t>
  </si>
  <si>
    <t xml:space="preserve">   Rent or Lease</t>
  </si>
  <si>
    <t xml:space="preserve">   Utilities</t>
  </si>
  <si>
    <t xml:space="preserve">      Gas and Electric</t>
  </si>
  <si>
    <t xml:space="preserve">      Telephone</t>
  </si>
  <si>
    <t xml:space="preserve">   Total Utilities</t>
  </si>
  <si>
    <t>Total Expenses</t>
  </si>
  <si>
    <t>Net Operating Income</t>
  </si>
  <si>
    <t>Other Expenses</t>
  </si>
  <si>
    <t xml:space="preserve">   Miscellaneous</t>
  </si>
  <si>
    <t>Total Other Expenses</t>
  </si>
  <si>
    <t>Net Other Income</t>
  </si>
  <si>
    <t>Net Income</t>
  </si>
  <si>
    <t>Statement of Cash Flows</t>
  </si>
  <si>
    <t>Cash Flows from Operating Activities</t>
  </si>
  <si>
    <t>Accounts Receivable</t>
  </si>
  <si>
    <t>Inventory Asset</t>
  </si>
  <si>
    <t>Undeposited Funds</t>
  </si>
  <si>
    <t>Accounts Payable (A/P)</t>
  </si>
  <si>
    <t>Credit Cards</t>
  </si>
  <si>
    <t>Mastercard</t>
  </si>
  <si>
    <t>Other Current Liabilities</t>
  </si>
  <si>
    <t>Arizona Dept. of Revenue Payable</t>
  </si>
  <si>
    <t>Board of Equalization Payable</t>
  </si>
  <si>
    <t>Loan Payable</t>
  </si>
  <si>
    <t>Total Cash Flows from Operating activities</t>
  </si>
  <si>
    <t>Cash Flows from Investing Activities</t>
  </si>
  <si>
    <t>Fixed Assets</t>
  </si>
  <si>
    <t>Truck</t>
  </si>
  <si>
    <t>Original Cost</t>
  </si>
  <si>
    <t>Total Cash Flows from Investing Activities</t>
  </si>
  <si>
    <t>Cash flows from Financing Activities</t>
  </si>
  <si>
    <t>Long-Term Liabilities</t>
  </si>
  <si>
    <t>Notes Payable</t>
  </si>
  <si>
    <t>Equity</t>
  </si>
  <si>
    <t>Opening Balance Equity</t>
  </si>
  <si>
    <t>Retained Earnings</t>
  </si>
  <si>
    <t>Total Cash flows from Financing Activities</t>
  </si>
  <si>
    <t>Net cash flow</t>
  </si>
  <si>
    <t>Beginning Cash Balance</t>
  </si>
  <si>
    <t>Ending Cash Balance</t>
  </si>
  <si>
    <t>Profit and Loss - Bookkeeper</t>
  </si>
  <si>
    <t>ABC Bookkeeping</t>
  </si>
  <si>
    <t>YE Projection</t>
  </si>
  <si>
    <t>Total Bookkeeper</t>
  </si>
  <si>
    <t>Beginning Balance</t>
  </si>
  <si>
    <t>Ending Balance</t>
  </si>
  <si>
    <t>Purchases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</si>
</sst>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&quot; &quot;yyyy"/>
    <numFmt numFmtId="165" formatCode="#,##0.00\ _€"/>
    <numFmt numFmtId="166" formatCode="&quot;$&quot;* #,##0.00\ _€"/>
  </numFmts>
  <fonts count="14">
    <font>
      <sz val="11.0"/>
      <color rgb="FF000000"/>
      <name val="Calibri"/>
    </font>
    <font>
      <b/>
      <sz val="14.0"/>
      <color rgb="FF000000"/>
      <name val="Arial"/>
    </font>
    <font>
      <b/>
      <sz val="10.0"/>
      <color rgb="FF000000"/>
      <name val="Arial"/>
    </font>
    <font>
      <b/>
      <sz val="9.0"/>
      <color rgb="FF000000"/>
      <name val="Arial"/>
    </font>
    <font>
      <b/>
      <sz val="8.0"/>
      <color rgb="FF000000"/>
      <name val="Arial"/>
    </font>
    <font>
      <sz val="8.0"/>
      <color rgb="FF000000"/>
      <name val="Arial"/>
    </font>
    <font>
      <b/>
      <sz val="11.0"/>
      <color rgb="FF0000FF"/>
      <name val="Calibri"/>
    </font>
    <font/>
    <font>
      <b/>
      <sz val="11.0"/>
      <color rgb="FF000000"/>
      <name val="Calibri"/>
    </font>
    <font>
      <color rgb="FF351C75"/>
    </font>
    <font>
      <b/>
      <sz val="11.0"/>
      <color rgb="FF980000"/>
      <name val="Calibri"/>
    </font>
    <font>
      <b/>
      <color rgb="FF980000"/>
    </font>
    <font>
      <b/>
      <sz val="8.0"/>
      <color rgb="FF351C75"/>
      <name val="Arial"/>
    </font>
    <font>
      <sz val="8.0"/>
      <color rgb="FF351C75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0"/>
    </xf>
    <xf borderId="0" fillId="0" fontId="1" numFmtId="0" xfId="0" applyAlignment="1" applyFont="1">
      <alignment horizontal="center" shrinkToFit="0" wrapText="0"/>
    </xf>
    <xf borderId="0" fillId="2" fontId="1" numFmtId="0" xfId="0" applyAlignment="1" applyFill="1" applyFont="1">
      <alignment horizontal="center" shrinkToFit="0" wrapText="0"/>
    </xf>
    <xf borderId="0" fillId="0" fontId="2" numFmtId="0" xfId="0" applyAlignment="1" applyFont="1">
      <alignment horizontal="left" shrinkToFit="0" wrapText="0"/>
    </xf>
    <xf borderId="0" fillId="0" fontId="2" numFmtId="0" xfId="0" applyAlignment="1" applyFont="1">
      <alignment horizontal="center" shrinkToFit="0" wrapText="0"/>
    </xf>
    <xf borderId="0" fillId="2" fontId="2" numFmtId="0" xfId="0" applyAlignment="1" applyFont="1">
      <alignment horizontal="center" shrinkToFit="0" wrapText="0"/>
    </xf>
    <xf borderId="0" fillId="0" fontId="0" numFmtId="0" xfId="0" applyAlignment="1" applyFont="1">
      <alignment shrinkToFit="0" wrapText="0"/>
    </xf>
    <xf borderId="0" fillId="2" fontId="0" numFmtId="0" xfId="0" applyAlignment="1" applyFont="1">
      <alignment shrinkToFit="0" wrapText="0"/>
    </xf>
    <xf borderId="0" fillId="0" fontId="0" numFmtId="0" xfId="0" applyAlignment="1" applyFont="1">
      <alignment shrinkToFit="0" wrapText="1"/>
    </xf>
    <xf borderId="0" fillId="0" fontId="3" numFmtId="164" xfId="0" applyAlignment="1" applyFont="1" applyNumberFormat="1">
      <alignment horizontal="center" readingOrder="0" shrinkToFit="0" wrapText="1"/>
    </xf>
    <xf borderId="1" fillId="0" fontId="3" numFmtId="164" xfId="0" applyAlignment="1" applyBorder="1" applyFont="1" applyNumberFormat="1">
      <alignment horizontal="center" readingOrder="0" shrinkToFit="0" wrapText="1"/>
    </xf>
    <xf borderId="0" fillId="0" fontId="4" numFmtId="0" xfId="0" applyAlignment="1" applyFont="1">
      <alignment horizontal="left" shrinkToFit="0" wrapText="1"/>
    </xf>
    <xf borderId="0" fillId="0" fontId="5" numFmtId="165" xfId="0" applyAlignment="1" applyFont="1" applyNumberFormat="1">
      <alignment shrinkToFit="0" wrapText="1"/>
    </xf>
    <xf borderId="0" fillId="0" fontId="5" numFmtId="165" xfId="0" applyAlignment="1" applyFont="1" applyNumberFormat="1">
      <alignment horizontal="right" shrinkToFit="0" wrapText="1"/>
    </xf>
    <xf borderId="0" fillId="0" fontId="4" numFmtId="166" xfId="0" applyAlignment="1" applyFont="1" applyNumberFormat="1">
      <alignment horizontal="right" shrinkToFit="0" wrapText="1"/>
    </xf>
    <xf borderId="2" fillId="0" fontId="4" numFmtId="166" xfId="0" applyAlignment="1" applyBorder="1" applyFont="1" applyNumberFormat="1">
      <alignment horizontal="right" shrinkToFit="0" wrapText="1"/>
    </xf>
    <xf borderId="0" fillId="0" fontId="5" numFmtId="165" xfId="0" applyAlignment="1" applyFont="1" applyNumberFormat="1">
      <alignment horizontal="right" readingOrder="0" shrinkToFit="0" wrapText="1"/>
    </xf>
    <xf borderId="0" fillId="0" fontId="0" numFmtId="0" xfId="0" applyAlignment="1" applyFont="1">
      <alignment readingOrder="0" shrinkToFit="0" wrapText="0"/>
    </xf>
    <xf borderId="0" fillId="0" fontId="0" numFmtId="166" xfId="0" applyAlignment="1" applyFont="1" applyNumberFormat="1">
      <alignment shrinkToFit="0" wrapText="0"/>
    </xf>
    <xf borderId="0" fillId="0" fontId="5" numFmtId="165" xfId="0" applyAlignment="1" applyFont="1" applyNumberFormat="1">
      <alignment readingOrder="0" shrinkToFit="0" wrapText="1"/>
    </xf>
    <xf borderId="0" fillId="0" fontId="1" numFmtId="0" xfId="0" applyAlignment="1" applyFont="1">
      <alignment horizontal="left" readingOrder="0" shrinkToFit="0" wrapText="0"/>
    </xf>
    <xf borderId="0" fillId="0" fontId="6" numFmtId="0" xfId="0" applyAlignment="1" applyFont="1">
      <alignment readingOrder="0" shrinkToFit="0" wrapText="1"/>
    </xf>
    <xf borderId="0" fillId="0" fontId="7" numFmtId="4" xfId="0" applyFont="1" applyNumberFormat="1"/>
    <xf borderId="0" fillId="0" fontId="8" numFmtId="0" xfId="0" applyAlignment="1" applyFont="1">
      <alignment readingOrder="0" shrinkToFit="0" wrapText="1"/>
    </xf>
    <xf borderId="0" fillId="0" fontId="5" numFmtId="0" xfId="0" applyAlignment="1" applyFont="1">
      <alignment horizontal="left" shrinkToFit="0" wrapText="1"/>
    </xf>
    <xf borderId="0" fillId="0" fontId="5" numFmtId="0" xfId="0" applyAlignment="1" applyFont="1">
      <alignment horizontal="left" readingOrder="0" shrinkToFit="0" wrapText="1"/>
    </xf>
    <xf borderId="0" fillId="0" fontId="4" numFmtId="0" xfId="0" applyAlignment="1" applyFont="1">
      <alignment horizontal="left" readingOrder="0" shrinkToFit="0" wrapText="1"/>
    </xf>
    <xf borderId="0" fillId="3" fontId="9" numFmtId="4" xfId="0" applyFill="1" applyFont="1" applyNumberFormat="1"/>
    <xf borderId="0" fillId="0" fontId="7" numFmtId="4" xfId="0" applyAlignment="1" applyFont="1" applyNumberFormat="1">
      <alignment readingOrder="0"/>
    </xf>
    <xf borderId="0" fillId="4" fontId="10" numFmtId="0" xfId="0" applyAlignment="1" applyFill="1" applyFont="1">
      <alignment readingOrder="0" shrinkToFit="0" wrapText="0"/>
    </xf>
    <xf borderId="0" fillId="4" fontId="11" numFmtId="4" xfId="0" applyFont="1" applyNumberFormat="1"/>
    <xf borderId="0" fillId="3" fontId="12" numFmtId="0" xfId="0" applyAlignment="1" applyFont="1">
      <alignment horizontal="left" readingOrder="0" shrinkToFit="0" wrapText="1"/>
    </xf>
    <xf borderId="0" fillId="3" fontId="13" numFmtId="165" xfId="0" applyAlignment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52.71"/>
    <col customWidth="1" min="2" max="2" width="4.29"/>
    <col customWidth="1" min="3" max="20" width="12.0"/>
    <col customWidth="1" min="21" max="27" width="8.71"/>
  </cols>
  <sheetData>
    <row r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>
      <c r="A2" s="1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>
      <c r="A3" s="4" t="s">
        <v>2</v>
      </c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>
      <c r="A4" s="7"/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>
      <c r="A5" s="9"/>
      <c r="B5" s="10"/>
      <c r="C5" s="11">
        <v>42736.0</v>
      </c>
      <c r="D5" s="11">
        <f t="shared" ref="D5:T5" si="1">date(year(C5),month(C5)+1,day(C5))</f>
        <v>42767</v>
      </c>
      <c r="E5" s="11">
        <f t="shared" si="1"/>
        <v>42795</v>
      </c>
      <c r="F5" s="11">
        <f t="shared" si="1"/>
        <v>42826</v>
      </c>
      <c r="G5" s="11">
        <f t="shared" si="1"/>
        <v>42856</v>
      </c>
      <c r="H5" s="11">
        <f t="shared" si="1"/>
        <v>42887</v>
      </c>
      <c r="I5" s="11">
        <f t="shared" si="1"/>
        <v>42917</v>
      </c>
      <c r="J5" s="11">
        <f t="shared" si="1"/>
        <v>42948</v>
      </c>
      <c r="K5" s="11">
        <f t="shared" si="1"/>
        <v>42979</v>
      </c>
      <c r="L5" s="11">
        <f t="shared" si="1"/>
        <v>43009</v>
      </c>
      <c r="M5" s="11">
        <f t="shared" si="1"/>
        <v>43040</v>
      </c>
      <c r="N5" s="11">
        <f t="shared" si="1"/>
        <v>43070</v>
      </c>
      <c r="O5" s="11">
        <f t="shared" si="1"/>
        <v>43101</v>
      </c>
      <c r="P5" s="11">
        <f t="shared" si="1"/>
        <v>43132</v>
      </c>
      <c r="Q5" s="11">
        <f t="shared" si="1"/>
        <v>43160</v>
      </c>
      <c r="R5" s="11">
        <f t="shared" si="1"/>
        <v>43191</v>
      </c>
      <c r="S5" s="11">
        <f t="shared" si="1"/>
        <v>43221</v>
      </c>
      <c r="T5" s="11">
        <f t="shared" si="1"/>
        <v>43252</v>
      </c>
    </row>
    <row r="6">
      <c r="A6" s="12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>
      <c r="A7" s="12" t="s">
        <v>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>
      <c r="A8" s="12" t="s">
        <v>5</v>
      </c>
      <c r="B8" s="13"/>
      <c r="C8" s="13"/>
      <c r="D8" s="13"/>
      <c r="E8" s="13"/>
      <c r="F8" s="13"/>
      <c r="G8" s="13"/>
      <c r="H8" s="13">
        <f>'Statement of Cash Flows'!G44</f>
        <v>2870.578333</v>
      </c>
      <c r="I8" s="13">
        <f>'Statement of Cash Flows'!H44</f>
        <v>735.5316667</v>
      </c>
      <c r="J8" s="13">
        <f>'Statement of Cash Flows'!I44</f>
        <v>-1171.46</v>
      </c>
      <c r="K8" s="13">
        <f>'Statement of Cash Flows'!J44</f>
        <v>-2980.116</v>
      </c>
      <c r="L8" s="13">
        <f>'Statement of Cash Flows'!K44</f>
        <v>-3769.3392</v>
      </c>
      <c r="M8" s="13">
        <f>'Statement of Cash Flows'!L44</f>
        <v>-4729.03904</v>
      </c>
      <c r="N8" s="13">
        <f>'Statement of Cash Flows'!M44</f>
        <v>-6048.962515</v>
      </c>
      <c r="O8" s="13">
        <f>'Statement of Cash Flows'!N44</f>
        <v>-6805.861351</v>
      </c>
      <c r="P8" s="13">
        <f>'Statement of Cash Flows'!O44</f>
        <v>-7532.741621</v>
      </c>
      <c r="Q8" s="13">
        <f>'Statement of Cash Flows'!P44</f>
        <v>-8243.266745</v>
      </c>
      <c r="R8" s="13">
        <f>'Statement of Cash Flows'!Q44</f>
        <v>-8938.052254</v>
      </c>
      <c r="S8" s="13">
        <f>'Statement of Cash Flows'!R44</f>
        <v>-9679.854897</v>
      </c>
      <c r="T8" s="13">
        <f>'Statement of Cash Flows'!S44</f>
        <v>-9406.033374</v>
      </c>
      <c r="U8" s="13"/>
      <c r="V8" s="13"/>
      <c r="W8" s="13"/>
      <c r="X8" s="13"/>
      <c r="Y8" s="13"/>
      <c r="Z8" s="13"/>
      <c r="AA8" s="13"/>
    </row>
    <row r="9">
      <c r="A9" s="12" t="s">
        <v>6</v>
      </c>
      <c r="B9" s="14"/>
      <c r="C9" s="14">
        <f>5000</f>
        <v>5000</v>
      </c>
      <c r="D9" s="14">
        <f>4875</f>
        <v>4875</v>
      </c>
      <c r="E9" s="14">
        <f>4570.45</f>
        <v>4570.45</v>
      </c>
      <c r="F9" s="14">
        <f>4321.4</f>
        <v>4321.4</v>
      </c>
      <c r="G9" s="14">
        <f>1201</f>
        <v>1201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>
      <c r="A10" s="12" t="s">
        <v>7</v>
      </c>
      <c r="B10" s="13"/>
      <c r="C10" s="13"/>
      <c r="D10" s="14" t="str">
        <f t="shared" ref="D10:F10" si="2">C10</f>
        <v/>
      </c>
      <c r="E10" s="14" t="str">
        <f t="shared" si="2"/>
        <v/>
      </c>
      <c r="F10" s="14" t="str">
        <f t="shared" si="2"/>
        <v/>
      </c>
      <c r="G10" s="14">
        <f>800</f>
        <v>800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>
      <c r="A11" s="12" t="s">
        <v>8</v>
      </c>
      <c r="B11" s="15"/>
      <c r="C11" s="16">
        <f t="shared" ref="C11:G11" si="3">(C9)+(C10)</f>
        <v>5000</v>
      </c>
      <c r="D11" s="16">
        <f t="shared" si="3"/>
        <v>4875</v>
      </c>
      <c r="E11" s="16">
        <f t="shared" si="3"/>
        <v>4570.45</v>
      </c>
      <c r="F11" s="16">
        <f t="shared" si="3"/>
        <v>4321.4</v>
      </c>
      <c r="G11" s="16">
        <f t="shared" si="3"/>
        <v>2001</v>
      </c>
      <c r="H11" s="16">
        <f t="shared" ref="H11:T11" si="4">sum(H8:H10)</f>
        <v>2870.578333</v>
      </c>
      <c r="I11" s="16">
        <f t="shared" si="4"/>
        <v>735.5316667</v>
      </c>
      <c r="J11" s="16">
        <f t="shared" si="4"/>
        <v>-1171.46</v>
      </c>
      <c r="K11" s="16">
        <f t="shared" si="4"/>
        <v>-2980.116</v>
      </c>
      <c r="L11" s="16">
        <f t="shared" si="4"/>
        <v>-3769.3392</v>
      </c>
      <c r="M11" s="16">
        <f t="shared" si="4"/>
        <v>-4729.03904</v>
      </c>
      <c r="N11" s="16">
        <f t="shared" si="4"/>
        <v>-6048.962515</v>
      </c>
      <c r="O11" s="16">
        <f t="shared" si="4"/>
        <v>-6805.861351</v>
      </c>
      <c r="P11" s="16">
        <f t="shared" si="4"/>
        <v>-7532.741621</v>
      </c>
      <c r="Q11" s="16">
        <f t="shared" si="4"/>
        <v>-8243.266745</v>
      </c>
      <c r="R11" s="16">
        <f t="shared" si="4"/>
        <v>-8938.052254</v>
      </c>
      <c r="S11" s="16">
        <f t="shared" si="4"/>
        <v>-9679.854897</v>
      </c>
      <c r="T11" s="16">
        <f t="shared" si="4"/>
        <v>-9406.033374</v>
      </c>
    </row>
    <row r="12">
      <c r="A12" s="12" t="s">
        <v>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>
      <c r="A13" s="12" t="s">
        <v>10</v>
      </c>
      <c r="B13" s="14"/>
      <c r="C13" s="14">
        <f>401.75</f>
        <v>401.75</v>
      </c>
      <c r="D13" s="14">
        <f>387</f>
        <v>387</v>
      </c>
      <c r="E13" s="14">
        <f>1449.4</f>
        <v>1449.4</v>
      </c>
      <c r="F13" s="14">
        <f>2154</f>
        <v>2154</v>
      </c>
      <c r="G13" s="14">
        <f>5281.52</f>
        <v>5281.52</v>
      </c>
      <c r="H13" s="14">
        <f>'Profit and Loss'!G23</f>
        <v>4439.415</v>
      </c>
      <c r="I13" s="14">
        <f>'Profit and Loss'!H23</f>
        <v>4667.47</v>
      </c>
      <c r="J13" s="14">
        <f>'Profit and Loss'!I23</f>
        <v>4770.115</v>
      </c>
      <c r="K13" s="14">
        <f>'Profit and Loss'!J23</f>
        <v>4787.914</v>
      </c>
      <c r="L13" s="14">
        <f>'Profit and Loss'!K23</f>
        <v>5116.1588</v>
      </c>
      <c r="M13" s="14">
        <f>'Profit and Loss'!L23</f>
        <v>4756.21456</v>
      </c>
      <c r="N13" s="14">
        <f>'Profit and Loss'!M23</f>
        <v>4819.574472</v>
      </c>
      <c r="O13" s="14">
        <f>'Profit and Loss'!N23</f>
        <v>4849.995366</v>
      </c>
      <c r="P13" s="14">
        <f>'Profit and Loss'!O23</f>
        <v>4865.97144</v>
      </c>
      <c r="Q13" s="14">
        <f>'Profit and Loss'!P23</f>
        <v>4881.582928</v>
      </c>
      <c r="R13" s="14">
        <f>'Profit and Loss'!Q23</f>
        <v>4834.667753</v>
      </c>
      <c r="S13" s="14">
        <f>'Profit and Loss'!R23</f>
        <v>4850.358392</v>
      </c>
      <c r="T13" s="14">
        <f>'Profit and Loss'!S23</f>
        <v>4856.515176</v>
      </c>
    </row>
    <row r="14">
      <c r="A14" s="12" t="s">
        <v>11</v>
      </c>
      <c r="B14" s="15"/>
      <c r="C14" s="16">
        <f t="shared" ref="C14:T14" si="5">C13</f>
        <v>401.75</v>
      </c>
      <c r="D14" s="16">
        <f t="shared" si="5"/>
        <v>387</v>
      </c>
      <c r="E14" s="16">
        <f t="shared" si="5"/>
        <v>1449.4</v>
      </c>
      <c r="F14" s="16">
        <f t="shared" si="5"/>
        <v>2154</v>
      </c>
      <c r="G14" s="16">
        <f t="shared" si="5"/>
        <v>5281.52</v>
      </c>
      <c r="H14" s="16">
        <f t="shared" si="5"/>
        <v>4439.415</v>
      </c>
      <c r="I14" s="16">
        <f t="shared" si="5"/>
        <v>4667.47</v>
      </c>
      <c r="J14" s="16">
        <f t="shared" si="5"/>
        <v>4770.115</v>
      </c>
      <c r="K14" s="16">
        <f t="shared" si="5"/>
        <v>4787.914</v>
      </c>
      <c r="L14" s="16">
        <f t="shared" si="5"/>
        <v>5116.1588</v>
      </c>
      <c r="M14" s="16">
        <f t="shared" si="5"/>
        <v>4756.21456</v>
      </c>
      <c r="N14" s="16">
        <f t="shared" si="5"/>
        <v>4819.574472</v>
      </c>
      <c r="O14" s="16">
        <f t="shared" si="5"/>
        <v>4849.995366</v>
      </c>
      <c r="P14" s="16">
        <f t="shared" si="5"/>
        <v>4865.97144</v>
      </c>
      <c r="Q14" s="16">
        <f t="shared" si="5"/>
        <v>4881.582928</v>
      </c>
      <c r="R14" s="16">
        <f t="shared" si="5"/>
        <v>4834.667753</v>
      </c>
      <c r="S14" s="16">
        <f t="shared" si="5"/>
        <v>4850.358392</v>
      </c>
      <c r="T14" s="16">
        <f t="shared" si="5"/>
        <v>4856.515176</v>
      </c>
    </row>
    <row r="15">
      <c r="A15" s="12" t="s">
        <v>12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>
      <c r="A16" s="12" t="s">
        <v>13</v>
      </c>
      <c r="B16" s="13"/>
      <c r="C16" s="13"/>
      <c r="D16" s="14" t="str">
        <f t="shared" ref="D16:F16" si="6">C16</f>
        <v/>
      </c>
      <c r="E16" s="14" t="str">
        <f t="shared" si="6"/>
        <v/>
      </c>
      <c r="F16" s="14" t="str">
        <f t="shared" si="6"/>
        <v/>
      </c>
      <c r="G16" s="14">
        <f t="shared" ref="G16:T16" si="7">596.25</f>
        <v>596.25</v>
      </c>
      <c r="H16" s="14">
        <f t="shared" si="7"/>
        <v>596.25</v>
      </c>
      <c r="I16" s="14">
        <f t="shared" si="7"/>
        <v>596.25</v>
      </c>
      <c r="J16" s="14">
        <f t="shared" si="7"/>
        <v>596.25</v>
      </c>
      <c r="K16" s="14">
        <f t="shared" si="7"/>
        <v>596.25</v>
      </c>
      <c r="L16" s="14">
        <f t="shared" si="7"/>
        <v>596.25</v>
      </c>
      <c r="M16" s="14">
        <f t="shared" si="7"/>
        <v>596.25</v>
      </c>
      <c r="N16" s="14">
        <f t="shared" si="7"/>
        <v>596.25</v>
      </c>
      <c r="O16" s="14">
        <f t="shared" si="7"/>
        <v>596.25</v>
      </c>
      <c r="P16" s="14">
        <f t="shared" si="7"/>
        <v>596.25</v>
      </c>
      <c r="Q16" s="14">
        <f t="shared" si="7"/>
        <v>596.25</v>
      </c>
      <c r="R16" s="14">
        <f t="shared" si="7"/>
        <v>596.25</v>
      </c>
      <c r="S16" s="14">
        <f t="shared" si="7"/>
        <v>596.25</v>
      </c>
      <c r="T16" s="14">
        <f t="shared" si="7"/>
        <v>596.25</v>
      </c>
    </row>
    <row r="17">
      <c r="A17" s="12" t="s">
        <v>14</v>
      </c>
      <c r="B17" s="13"/>
      <c r="C17" s="13"/>
      <c r="D17" s="14">
        <f>226.75</f>
        <v>226.75</v>
      </c>
      <c r="E17" s="14">
        <f>D17</f>
        <v>226.75</v>
      </c>
      <c r="F17" s="14">
        <f>687.15</f>
        <v>687.15</v>
      </c>
      <c r="G17" s="14">
        <f>2062.52</f>
        <v>2062.52</v>
      </c>
      <c r="H17" s="17">
        <v>0.0</v>
      </c>
      <c r="I17" s="14">
        <f t="shared" ref="I17:T17" si="8">H17</f>
        <v>0</v>
      </c>
      <c r="J17" s="14">
        <f t="shared" si="8"/>
        <v>0</v>
      </c>
      <c r="K17" s="14">
        <f t="shared" si="8"/>
        <v>0</v>
      </c>
      <c r="L17" s="14">
        <f t="shared" si="8"/>
        <v>0</v>
      </c>
      <c r="M17" s="14">
        <f t="shared" si="8"/>
        <v>0</v>
      </c>
      <c r="N17" s="14">
        <f t="shared" si="8"/>
        <v>0</v>
      </c>
      <c r="O17" s="14">
        <f t="shared" si="8"/>
        <v>0</v>
      </c>
      <c r="P17" s="14">
        <f t="shared" si="8"/>
        <v>0</v>
      </c>
      <c r="Q17" s="14">
        <f t="shared" si="8"/>
        <v>0</v>
      </c>
      <c r="R17" s="14">
        <f t="shared" si="8"/>
        <v>0</v>
      </c>
      <c r="S17" s="14">
        <f t="shared" si="8"/>
        <v>0</v>
      </c>
      <c r="T17" s="14">
        <f t="shared" si="8"/>
        <v>0</v>
      </c>
    </row>
    <row r="18">
      <c r="A18" s="12" t="s">
        <v>15</v>
      </c>
      <c r="B18" s="15"/>
      <c r="C18" s="16">
        <f t="shared" ref="C18:T18" si="9">(C16)+(C17)</f>
        <v>0</v>
      </c>
      <c r="D18" s="16">
        <f t="shared" si="9"/>
        <v>226.75</v>
      </c>
      <c r="E18" s="16">
        <f t="shared" si="9"/>
        <v>226.75</v>
      </c>
      <c r="F18" s="16">
        <f t="shared" si="9"/>
        <v>687.15</v>
      </c>
      <c r="G18" s="16">
        <f t="shared" si="9"/>
        <v>2658.77</v>
      </c>
      <c r="H18" s="16">
        <f t="shared" si="9"/>
        <v>596.25</v>
      </c>
      <c r="I18" s="16">
        <f t="shared" si="9"/>
        <v>596.25</v>
      </c>
      <c r="J18" s="16">
        <f t="shared" si="9"/>
        <v>596.25</v>
      </c>
      <c r="K18" s="16">
        <f t="shared" si="9"/>
        <v>596.25</v>
      </c>
      <c r="L18" s="16">
        <f t="shared" si="9"/>
        <v>596.25</v>
      </c>
      <c r="M18" s="16">
        <f t="shared" si="9"/>
        <v>596.25</v>
      </c>
      <c r="N18" s="16">
        <f t="shared" si="9"/>
        <v>596.25</v>
      </c>
      <c r="O18" s="16">
        <f t="shared" si="9"/>
        <v>596.25</v>
      </c>
      <c r="P18" s="16">
        <f t="shared" si="9"/>
        <v>596.25</v>
      </c>
      <c r="Q18" s="16">
        <f t="shared" si="9"/>
        <v>596.25</v>
      </c>
      <c r="R18" s="16">
        <f t="shared" si="9"/>
        <v>596.25</v>
      </c>
      <c r="S18" s="16">
        <f t="shared" si="9"/>
        <v>596.25</v>
      </c>
      <c r="T18" s="16">
        <f t="shared" si="9"/>
        <v>596.25</v>
      </c>
    </row>
    <row r="19">
      <c r="A19" s="12" t="s">
        <v>16</v>
      </c>
      <c r="B19" s="15"/>
      <c r="C19" s="16">
        <f t="shared" ref="C19:T19" si="10">((C11)+(C14))+(C18)</f>
        <v>5401.75</v>
      </c>
      <c r="D19" s="16">
        <f t="shared" si="10"/>
        <v>5488.75</v>
      </c>
      <c r="E19" s="16">
        <f t="shared" si="10"/>
        <v>6246.6</v>
      </c>
      <c r="F19" s="16">
        <f t="shared" si="10"/>
        <v>7162.55</v>
      </c>
      <c r="G19" s="16">
        <f t="shared" si="10"/>
        <v>9941.29</v>
      </c>
      <c r="H19" s="16">
        <f t="shared" si="10"/>
        <v>7906.243333</v>
      </c>
      <c r="I19" s="16">
        <f t="shared" si="10"/>
        <v>5999.251667</v>
      </c>
      <c r="J19" s="16">
        <f t="shared" si="10"/>
        <v>4194.905</v>
      </c>
      <c r="K19" s="16">
        <f t="shared" si="10"/>
        <v>2404.048</v>
      </c>
      <c r="L19" s="16">
        <f t="shared" si="10"/>
        <v>1943.0696</v>
      </c>
      <c r="M19" s="16">
        <f t="shared" si="10"/>
        <v>623.42552</v>
      </c>
      <c r="N19" s="16">
        <f t="shared" si="10"/>
        <v>-633.1380427</v>
      </c>
      <c r="O19" s="16">
        <f t="shared" si="10"/>
        <v>-1359.615985</v>
      </c>
      <c r="P19" s="16">
        <f t="shared" si="10"/>
        <v>-2070.520181</v>
      </c>
      <c r="Q19" s="16">
        <f t="shared" si="10"/>
        <v>-2765.433818</v>
      </c>
      <c r="R19" s="16">
        <f t="shared" si="10"/>
        <v>-3507.134501</v>
      </c>
      <c r="S19" s="16">
        <f t="shared" si="10"/>
        <v>-4233.246506</v>
      </c>
      <c r="T19" s="16">
        <f t="shared" si="10"/>
        <v>-3953.268198</v>
      </c>
    </row>
    <row r="20">
      <c r="A20" s="12" t="s">
        <v>17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>
      <c r="A21" s="12" t="s">
        <v>18</v>
      </c>
      <c r="B21" s="13"/>
      <c r="C21" s="13"/>
      <c r="D21" s="14" t="str">
        <f t="shared" ref="D21:T21" si="11">C21</f>
        <v/>
      </c>
      <c r="E21" s="14" t="str">
        <f t="shared" si="11"/>
        <v/>
      </c>
      <c r="F21" s="14" t="str">
        <f t="shared" si="11"/>
        <v/>
      </c>
      <c r="G21" s="14" t="str">
        <f t="shared" si="11"/>
        <v/>
      </c>
      <c r="H21" s="14" t="str">
        <f t="shared" si="11"/>
        <v/>
      </c>
      <c r="I21" s="14" t="str">
        <f t="shared" si="11"/>
        <v/>
      </c>
      <c r="J21" s="14" t="str">
        <f t="shared" si="11"/>
        <v/>
      </c>
      <c r="K21" s="14" t="str">
        <f t="shared" si="11"/>
        <v/>
      </c>
      <c r="L21" s="14" t="str">
        <f t="shared" si="11"/>
        <v/>
      </c>
      <c r="M21" s="14" t="str">
        <f t="shared" si="11"/>
        <v/>
      </c>
      <c r="N21" s="14" t="str">
        <f t="shared" si="11"/>
        <v/>
      </c>
      <c r="O21" s="14" t="str">
        <f t="shared" si="11"/>
        <v/>
      </c>
      <c r="P21" s="14" t="str">
        <f t="shared" si="11"/>
        <v/>
      </c>
      <c r="Q21" s="14" t="str">
        <f t="shared" si="11"/>
        <v/>
      </c>
      <c r="R21" s="14" t="str">
        <f t="shared" si="11"/>
        <v/>
      </c>
      <c r="S21" s="14" t="str">
        <f t="shared" si="11"/>
        <v/>
      </c>
      <c r="T21" s="14" t="str">
        <f t="shared" si="11"/>
        <v/>
      </c>
    </row>
    <row r="22">
      <c r="A22" s="12" t="s">
        <v>19</v>
      </c>
      <c r="B22" s="13"/>
      <c r="C22" s="13"/>
      <c r="D22" s="14" t="str">
        <f t="shared" ref="D22:E22" si="12">C22</f>
        <v/>
      </c>
      <c r="E22" s="14" t="str">
        <f t="shared" si="12"/>
        <v/>
      </c>
      <c r="F22" s="14">
        <f>13495</f>
        <v>13495</v>
      </c>
      <c r="G22" s="14">
        <f t="shared" ref="G22:T22" si="13">F22</f>
        <v>13495</v>
      </c>
      <c r="H22" s="14">
        <f t="shared" si="13"/>
        <v>13495</v>
      </c>
      <c r="I22" s="14">
        <f t="shared" si="13"/>
        <v>13495</v>
      </c>
      <c r="J22" s="14">
        <f t="shared" si="13"/>
        <v>13495</v>
      </c>
      <c r="K22" s="14">
        <f t="shared" si="13"/>
        <v>13495</v>
      </c>
      <c r="L22" s="14">
        <f t="shared" si="13"/>
        <v>13495</v>
      </c>
      <c r="M22" s="14">
        <f t="shared" si="13"/>
        <v>13495</v>
      </c>
      <c r="N22" s="14">
        <f t="shared" si="13"/>
        <v>13495</v>
      </c>
      <c r="O22" s="14">
        <f t="shared" si="13"/>
        <v>13495</v>
      </c>
      <c r="P22" s="14">
        <f t="shared" si="13"/>
        <v>13495</v>
      </c>
      <c r="Q22" s="14">
        <f t="shared" si="13"/>
        <v>13495</v>
      </c>
      <c r="R22" s="14">
        <f t="shared" si="13"/>
        <v>13495</v>
      </c>
      <c r="S22" s="14">
        <f t="shared" si="13"/>
        <v>13495</v>
      </c>
      <c r="T22" s="14">
        <f t="shared" si="13"/>
        <v>13495</v>
      </c>
    </row>
    <row r="23">
      <c r="A23" s="12" t="s">
        <v>20</v>
      </c>
      <c r="B23" s="15"/>
      <c r="C23" s="16">
        <f t="shared" ref="C23:T23" si="14">(C21)+(C22)</f>
        <v>0</v>
      </c>
      <c r="D23" s="16">
        <f t="shared" si="14"/>
        <v>0</v>
      </c>
      <c r="E23" s="16">
        <f t="shared" si="14"/>
        <v>0</v>
      </c>
      <c r="F23" s="16">
        <f t="shared" si="14"/>
        <v>13495</v>
      </c>
      <c r="G23" s="16">
        <f t="shared" si="14"/>
        <v>13495</v>
      </c>
      <c r="H23" s="16">
        <f t="shared" si="14"/>
        <v>13495</v>
      </c>
      <c r="I23" s="16">
        <f t="shared" si="14"/>
        <v>13495</v>
      </c>
      <c r="J23" s="16">
        <f t="shared" si="14"/>
        <v>13495</v>
      </c>
      <c r="K23" s="16">
        <f t="shared" si="14"/>
        <v>13495</v>
      </c>
      <c r="L23" s="16">
        <f t="shared" si="14"/>
        <v>13495</v>
      </c>
      <c r="M23" s="16">
        <f t="shared" si="14"/>
        <v>13495</v>
      </c>
      <c r="N23" s="16">
        <f t="shared" si="14"/>
        <v>13495</v>
      </c>
      <c r="O23" s="16">
        <f t="shared" si="14"/>
        <v>13495</v>
      </c>
      <c r="P23" s="16">
        <f t="shared" si="14"/>
        <v>13495</v>
      </c>
      <c r="Q23" s="16">
        <f t="shared" si="14"/>
        <v>13495</v>
      </c>
      <c r="R23" s="16">
        <f t="shared" si="14"/>
        <v>13495</v>
      </c>
      <c r="S23" s="16">
        <f t="shared" si="14"/>
        <v>13495</v>
      </c>
      <c r="T23" s="16">
        <f t="shared" si="14"/>
        <v>13495</v>
      </c>
    </row>
    <row r="24">
      <c r="A24" s="12" t="s">
        <v>21</v>
      </c>
      <c r="B24" s="15"/>
      <c r="C24" s="16">
        <f t="shared" ref="C24:T24" si="15">C23</f>
        <v>0</v>
      </c>
      <c r="D24" s="16">
        <f t="shared" si="15"/>
        <v>0</v>
      </c>
      <c r="E24" s="16">
        <f t="shared" si="15"/>
        <v>0</v>
      </c>
      <c r="F24" s="16">
        <f t="shared" si="15"/>
        <v>13495</v>
      </c>
      <c r="G24" s="16">
        <f t="shared" si="15"/>
        <v>13495</v>
      </c>
      <c r="H24" s="16">
        <f t="shared" si="15"/>
        <v>13495</v>
      </c>
      <c r="I24" s="16">
        <f t="shared" si="15"/>
        <v>13495</v>
      </c>
      <c r="J24" s="16">
        <f t="shared" si="15"/>
        <v>13495</v>
      </c>
      <c r="K24" s="16">
        <f t="shared" si="15"/>
        <v>13495</v>
      </c>
      <c r="L24" s="16">
        <f t="shared" si="15"/>
        <v>13495</v>
      </c>
      <c r="M24" s="16">
        <f t="shared" si="15"/>
        <v>13495</v>
      </c>
      <c r="N24" s="16">
        <f t="shared" si="15"/>
        <v>13495</v>
      </c>
      <c r="O24" s="16">
        <f t="shared" si="15"/>
        <v>13495</v>
      </c>
      <c r="P24" s="16">
        <f t="shared" si="15"/>
        <v>13495</v>
      </c>
      <c r="Q24" s="16">
        <f t="shared" si="15"/>
        <v>13495</v>
      </c>
      <c r="R24" s="16">
        <f t="shared" si="15"/>
        <v>13495</v>
      </c>
      <c r="S24" s="16">
        <f t="shared" si="15"/>
        <v>13495</v>
      </c>
      <c r="T24" s="16">
        <f t="shared" si="15"/>
        <v>13495</v>
      </c>
    </row>
    <row r="25">
      <c r="A25" s="12" t="s">
        <v>22</v>
      </c>
      <c r="B25" s="15"/>
      <c r="C25" s="16">
        <f t="shared" ref="C25:T25" si="16">(C19)+(C24)</f>
        <v>5401.75</v>
      </c>
      <c r="D25" s="16">
        <f t="shared" si="16"/>
        <v>5488.75</v>
      </c>
      <c r="E25" s="16">
        <f t="shared" si="16"/>
        <v>6246.6</v>
      </c>
      <c r="F25" s="16">
        <f t="shared" si="16"/>
        <v>20657.55</v>
      </c>
      <c r="G25" s="16">
        <f t="shared" si="16"/>
        <v>23436.29</v>
      </c>
      <c r="H25" s="16">
        <f t="shared" si="16"/>
        <v>21401.24333</v>
      </c>
      <c r="I25" s="16">
        <f t="shared" si="16"/>
        <v>19494.25167</v>
      </c>
      <c r="J25" s="16">
        <f t="shared" si="16"/>
        <v>17689.905</v>
      </c>
      <c r="K25" s="16">
        <f t="shared" si="16"/>
        <v>15899.048</v>
      </c>
      <c r="L25" s="16">
        <f t="shared" si="16"/>
        <v>15438.0696</v>
      </c>
      <c r="M25" s="16">
        <f t="shared" si="16"/>
        <v>14118.42552</v>
      </c>
      <c r="N25" s="16">
        <f t="shared" si="16"/>
        <v>12861.86196</v>
      </c>
      <c r="O25" s="16">
        <f t="shared" si="16"/>
        <v>12135.38402</v>
      </c>
      <c r="P25" s="16">
        <f t="shared" si="16"/>
        <v>11424.47982</v>
      </c>
      <c r="Q25" s="16">
        <f t="shared" si="16"/>
        <v>10729.56618</v>
      </c>
      <c r="R25" s="16">
        <f t="shared" si="16"/>
        <v>9987.865499</v>
      </c>
      <c r="S25" s="16">
        <f t="shared" si="16"/>
        <v>9261.753494</v>
      </c>
      <c r="T25" s="16">
        <f t="shared" si="16"/>
        <v>9541.731802</v>
      </c>
    </row>
    <row r="26">
      <c r="A26" s="12" t="s">
        <v>23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>
      <c r="A27" s="12" t="s">
        <v>24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>
      <c r="A28" s="12" t="s">
        <v>25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>
      <c r="A29" s="12" t="s">
        <v>26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>
      <c r="A30" s="12" t="s">
        <v>27</v>
      </c>
      <c r="B30" s="14"/>
      <c r="C30" s="14">
        <f>300</f>
        <v>300</v>
      </c>
      <c r="D30" s="14">
        <f>0</f>
        <v>0</v>
      </c>
      <c r="E30" s="14">
        <f>142.94</f>
        <v>142.94</v>
      </c>
      <c r="F30" s="14">
        <f>1897.39</f>
        <v>1897.39</v>
      </c>
      <c r="G30" s="14">
        <f t="shared" ref="G30:T30" si="17">1602.67</f>
        <v>1602.67</v>
      </c>
      <c r="H30" s="14">
        <f t="shared" si="17"/>
        <v>1602.67</v>
      </c>
      <c r="I30" s="14">
        <f t="shared" si="17"/>
        <v>1602.67</v>
      </c>
      <c r="J30" s="14">
        <f t="shared" si="17"/>
        <v>1602.67</v>
      </c>
      <c r="K30" s="14">
        <f t="shared" si="17"/>
        <v>1602.67</v>
      </c>
      <c r="L30" s="14">
        <f t="shared" si="17"/>
        <v>1602.67</v>
      </c>
      <c r="M30" s="14">
        <f t="shared" si="17"/>
        <v>1602.67</v>
      </c>
      <c r="N30" s="14">
        <f t="shared" si="17"/>
        <v>1602.67</v>
      </c>
      <c r="O30" s="14">
        <f t="shared" si="17"/>
        <v>1602.67</v>
      </c>
      <c r="P30" s="14">
        <f t="shared" si="17"/>
        <v>1602.67</v>
      </c>
      <c r="Q30" s="14">
        <f t="shared" si="17"/>
        <v>1602.67</v>
      </c>
      <c r="R30" s="14">
        <f t="shared" si="17"/>
        <v>1602.67</v>
      </c>
      <c r="S30" s="14">
        <f t="shared" si="17"/>
        <v>1602.67</v>
      </c>
      <c r="T30" s="14">
        <f t="shared" si="17"/>
        <v>1602.67</v>
      </c>
    </row>
    <row r="31">
      <c r="A31" s="12" t="s">
        <v>28</v>
      </c>
      <c r="B31" s="15"/>
      <c r="C31" s="16">
        <f t="shared" ref="C31:T31" si="18">C30</f>
        <v>300</v>
      </c>
      <c r="D31" s="16">
        <f t="shared" si="18"/>
        <v>0</v>
      </c>
      <c r="E31" s="16">
        <f t="shared" si="18"/>
        <v>142.94</v>
      </c>
      <c r="F31" s="16">
        <f t="shared" si="18"/>
        <v>1897.39</v>
      </c>
      <c r="G31" s="16">
        <f t="shared" si="18"/>
        <v>1602.67</v>
      </c>
      <c r="H31" s="16">
        <f t="shared" si="18"/>
        <v>1602.67</v>
      </c>
      <c r="I31" s="16">
        <f t="shared" si="18"/>
        <v>1602.67</v>
      </c>
      <c r="J31" s="16">
        <f t="shared" si="18"/>
        <v>1602.67</v>
      </c>
      <c r="K31" s="16">
        <f t="shared" si="18"/>
        <v>1602.67</v>
      </c>
      <c r="L31" s="16">
        <f t="shared" si="18"/>
        <v>1602.67</v>
      </c>
      <c r="M31" s="16">
        <f t="shared" si="18"/>
        <v>1602.67</v>
      </c>
      <c r="N31" s="16">
        <f t="shared" si="18"/>
        <v>1602.67</v>
      </c>
      <c r="O31" s="16">
        <f t="shared" si="18"/>
        <v>1602.67</v>
      </c>
      <c r="P31" s="16">
        <f t="shared" si="18"/>
        <v>1602.67</v>
      </c>
      <c r="Q31" s="16">
        <f t="shared" si="18"/>
        <v>1602.67</v>
      </c>
      <c r="R31" s="16">
        <f t="shared" si="18"/>
        <v>1602.67</v>
      </c>
      <c r="S31" s="16">
        <f t="shared" si="18"/>
        <v>1602.67</v>
      </c>
      <c r="T31" s="16">
        <f t="shared" si="18"/>
        <v>1602.67</v>
      </c>
    </row>
    <row r="3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>
      <c r="A33" s="12" t="s">
        <v>30</v>
      </c>
      <c r="B33" s="13"/>
      <c r="C33" s="13"/>
      <c r="D33" s="14" t="str">
        <f>C33</f>
        <v/>
      </c>
      <c r="E33" s="14">
        <f>158.08</f>
        <v>158.08</v>
      </c>
      <c r="F33" s="14">
        <f>223.08</f>
        <v>223.08</v>
      </c>
      <c r="G33" s="14">
        <f>123.72</f>
        <v>123.72</v>
      </c>
      <c r="H33" s="14">
        <f>'BS - Mastercard'!G11</f>
        <v>1123.72</v>
      </c>
      <c r="I33" s="14">
        <f>'BS - Mastercard'!H11</f>
        <v>1123.72</v>
      </c>
      <c r="J33" s="14">
        <f>'BS - Mastercard'!I11</f>
        <v>1123.72</v>
      </c>
      <c r="K33" s="14">
        <f>'BS - Mastercard'!J11</f>
        <v>1123.72</v>
      </c>
      <c r="L33" s="14">
        <f>'BS - Mastercard'!K11</f>
        <v>1123.72</v>
      </c>
      <c r="M33" s="14">
        <f>'BS - Mastercard'!L11</f>
        <v>1123.72</v>
      </c>
      <c r="N33" s="14">
        <f>'BS - Mastercard'!M11</f>
        <v>1123.72</v>
      </c>
      <c r="O33" s="14">
        <f>'BS - Mastercard'!N11</f>
        <v>1123.72</v>
      </c>
      <c r="P33" s="14">
        <f>'BS - Mastercard'!O11</f>
        <v>1123.72</v>
      </c>
      <c r="Q33" s="14">
        <f>'BS - Mastercard'!P11</f>
        <v>1123.72</v>
      </c>
      <c r="R33" s="14">
        <f>'BS - Mastercard'!Q11</f>
        <v>1123.72</v>
      </c>
      <c r="S33" s="14">
        <f>'BS - Mastercard'!R11</f>
        <v>1123.72</v>
      </c>
      <c r="T33" s="14">
        <f>'BS - Mastercard'!S11</f>
        <v>1123.72</v>
      </c>
    </row>
    <row r="34">
      <c r="A34" s="12" t="s">
        <v>31</v>
      </c>
      <c r="B34" s="15"/>
      <c r="C34" s="16" t="str">
        <f t="shared" ref="C34:T34" si="19">C33</f>
        <v/>
      </c>
      <c r="D34" s="16" t="str">
        <f t="shared" si="19"/>
        <v/>
      </c>
      <c r="E34" s="16">
        <f t="shared" si="19"/>
        <v>158.08</v>
      </c>
      <c r="F34" s="16">
        <f t="shared" si="19"/>
        <v>223.08</v>
      </c>
      <c r="G34" s="16">
        <f t="shared" si="19"/>
        <v>123.72</v>
      </c>
      <c r="H34" s="16">
        <f t="shared" si="19"/>
        <v>1123.72</v>
      </c>
      <c r="I34" s="16">
        <f t="shared" si="19"/>
        <v>1123.72</v>
      </c>
      <c r="J34" s="16">
        <f t="shared" si="19"/>
        <v>1123.72</v>
      </c>
      <c r="K34" s="16">
        <f t="shared" si="19"/>
        <v>1123.72</v>
      </c>
      <c r="L34" s="16">
        <f t="shared" si="19"/>
        <v>1123.72</v>
      </c>
      <c r="M34" s="16">
        <f t="shared" si="19"/>
        <v>1123.72</v>
      </c>
      <c r="N34" s="16">
        <f t="shared" si="19"/>
        <v>1123.72</v>
      </c>
      <c r="O34" s="16">
        <f t="shared" si="19"/>
        <v>1123.72</v>
      </c>
      <c r="P34" s="16">
        <f t="shared" si="19"/>
        <v>1123.72</v>
      </c>
      <c r="Q34" s="16">
        <f t="shared" si="19"/>
        <v>1123.72</v>
      </c>
      <c r="R34" s="16">
        <f t="shared" si="19"/>
        <v>1123.72</v>
      </c>
      <c r="S34" s="16">
        <f t="shared" si="19"/>
        <v>1123.72</v>
      </c>
      <c r="T34" s="16">
        <f t="shared" si="19"/>
        <v>1123.72</v>
      </c>
    </row>
    <row r="35">
      <c r="A35" s="12" t="s">
        <v>32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>
      <c r="A36" s="12" t="s">
        <v>33</v>
      </c>
      <c r="B36" s="13"/>
      <c r="C36" s="13"/>
      <c r="D36" s="14" t="str">
        <f>C36</f>
        <v/>
      </c>
      <c r="E36" s="14">
        <f>38.4</f>
        <v>38.4</v>
      </c>
      <c r="F36" s="14">
        <f>0</f>
        <v>0</v>
      </c>
      <c r="G36" s="14">
        <f t="shared" ref="G36:T36" si="20">F36</f>
        <v>0</v>
      </c>
      <c r="H36" s="14">
        <f t="shared" si="20"/>
        <v>0</v>
      </c>
      <c r="I36" s="14">
        <f t="shared" si="20"/>
        <v>0</v>
      </c>
      <c r="J36" s="14">
        <f t="shared" si="20"/>
        <v>0</v>
      </c>
      <c r="K36" s="14">
        <f t="shared" si="20"/>
        <v>0</v>
      </c>
      <c r="L36" s="14">
        <f t="shared" si="20"/>
        <v>0</v>
      </c>
      <c r="M36" s="14">
        <f t="shared" si="20"/>
        <v>0</v>
      </c>
      <c r="N36" s="14">
        <f t="shared" si="20"/>
        <v>0</v>
      </c>
      <c r="O36" s="14">
        <f t="shared" si="20"/>
        <v>0</v>
      </c>
      <c r="P36" s="14">
        <f t="shared" si="20"/>
        <v>0</v>
      </c>
      <c r="Q36" s="14">
        <f t="shared" si="20"/>
        <v>0</v>
      </c>
      <c r="R36" s="14">
        <f t="shared" si="20"/>
        <v>0</v>
      </c>
      <c r="S36" s="14">
        <f t="shared" si="20"/>
        <v>0</v>
      </c>
      <c r="T36" s="14">
        <f t="shared" si="20"/>
        <v>0</v>
      </c>
    </row>
    <row r="37">
      <c r="A37" s="12" t="s">
        <v>34</v>
      </c>
      <c r="B37" s="14"/>
      <c r="C37" s="14">
        <f>10.5</f>
        <v>10.5</v>
      </c>
      <c r="D37" s="14">
        <f>32.5</f>
        <v>32.5</v>
      </c>
      <c r="E37" s="14">
        <f>38.5</f>
        <v>38.5</v>
      </c>
      <c r="F37" s="14">
        <f>46.4</f>
        <v>46.4</v>
      </c>
      <c r="G37" s="14">
        <f t="shared" ref="G37:T37" si="21">370.94</f>
        <v>370.94</v>
      </c>
      <c r="H37" s="14">
        <f t="shared" si="21"/>
        <v>370.94</v>
      </c>
      <c r="I37" s="14">
        <f t="shared" si="21"/>
        <v>370.94</v>
      </c>
      <c r="J37" s="14">
        <f t="shared" si="21"/>
        <v>370.94</v>
      </c>
      <c r="K37" s="14">
        <f t="shared" si="21"/>
        <v>370.94</v>
      </c>
      <c r="L37" s="14">
        <f t="shared" si="21"/>
        <v>370.94</v>
      </c>
      <c r="M37" s="14">
        <f t="shared" si="21"/>
        <v>370.94</v>
      </c>
      <c r="N37" s="14">
        <f t="shared" si="21"/>
        <v>370.94</v>
      </c>
      <c r="O37" s="14">
        <f t="shared" si="21"/>
        <v>370.94</v>
      </c>
      <c r="P37" s="14">
        <f t="shared" si="21"/>
        <v>370.94</v>
      </c>
      <c r="Q37" s="14">
        <f t="shared" si="21"/>
        <v>370.94</v>
      </c>
      <c r="R37" s="14">
        <f t="shared" si="21"/>
        <v>370.94</v>
      </c>
      <c r="S37" s="14">
        <f t="shared" si="21"/>
        <v>370.94</v>
      </c>
      <c r="T37" s="14">
        <f t="shared" si="21"/>
        <v>370.94</v>
      </c>
    </row>
    <row r="38">
      <c r="A38" s="12" t="s">
        <v>35</v>
      </c>
      <c r="B38" s="13"/>
      <c r="C38" s="13"/>
      <c r="D38" s="14" t="str">
        <f t="shared" ref="D38:F38" si="22">C38</f>
        <v/>
      </c>
      <c r="E38" s="14" t="str">
        <f t="shared" si="22"/>
        <v/>
      </c>
      <c r="F38" s="14" t="str">
        <f t="shared" si="22"/>
        <v/>
      </c>
      <c r="G38" s="14">
        <f>4000</f>
        <v>4000</v>
      </c>
      <c r="H38" s="14">
        <f t="shared" ref="H38:K38" si="23">G38-1000</f>
        <v>3000</v>
      </c>
      <c r="I38" s="14">
        <f t="shared" si="23"/>
        <v>2000</v>
      </c>
      <c r="J38" s="14">
        <f t="shared" si="23"/>
        <v>1000</v>
      </c>
      <c r="K38" s="14">
        <f t="shared" si="23"/>
        <v>0</v>
      </c>
      <c r="L38" s="14">
        <f t="shared" ref="L38:T38" si="24">K38</f>
        <v>0</v>
      </c>
      <c r="M38" s="14">
        <f t="shared" si="24"/>
        <v>0</v>
      </c>
      <c r="N38" s="14">
        <f t="shared" si="24"/>
        <v>0</v>
      </c>
      <c r="O38" s="14">
        <f t="shared" si="24"/>
        <v>0</v>
      </c>
      <c r="P38" s="14">
        <f t="shared" si="24"/>
        <v>0</v>
      </c>
      <c r="Q38" s="14">
        <f t="shared" si="24"/>
        <v>0</v>
      </c>
      <c r="R38" s="14">
        <f t="shared" si="24"/>
        <v>0</v>
      </c>
      <c r="S38" s="14">
        <f t="shared" si="24"/>
        <v>0</v>
      </c>
      <c r="T38" s="14">
        <f t="shared" si="24"/>
        <v>0</v>
      </c>
    </row>
    <row r="39">
      <c r="A39" s="12" t="s">
        <v>36</v>
      </c>
      <c r="B39" s="15"/>
      <c r="C39" s="16">
        <f t="shared" ref="C39:T39" si="25">((C36)+(C37))+(C38)</f>
        <v>10.5</v>
      </c>
      <c r="D39" s="16">
        <f t="shared" si="25"/>
        <v>32.5</v>
      </c>
      <c r="E39" s="16">
        <f t="shared" si="25"/>
        <v>76.9</v>
      </c>
      <c r="F39" s="16">
        <f t="shared" si="25"/>
        <v>46.4</v>
      </c>
      <c r="G39" s="16">
        <f t="shared" si="25"/>
        <v>4370.94</v>
      </c>
      <c r="H39" s="16">
        <f t="shared" si="25"/>
        <v>3370.94</v>
      </c>
      <c r="I39" s="16">
        <f t="shared" si="25"/>
        <v>2370.94</v>
      </c>
      <c r="J39" s="16">
        <f t="shared" si="25"/>
        <v>1370.94</v>
      </c>
      <c r="K39" s="16">
        <f t="shared" si="25"/>
        <v>370.94</v>
      </c>
      <c r="L39" s="16">
        <f t="shared" si="25"/>
        <v>370.94</v>
      </c>
      <c r="M39" s="16">
        <f t="shared" si="25"/>
        <v>370.94</v>
      </c>
      <c r="N39" s="16">
        <f t="shared" si="25"/>
        <v>370.94</v>
      </c>
      <c r="O39" s="16">
        <f t="shared" si="25"/>
        <v>370.94</v>
      </c>
      <c r="P39" s="16">
        <f t="shared" si="25"/>
        <v>370.94</v>
      </c>
      <c r="Q39" s="16">
        <f t="shared" si="25"/>
        <v>370.94</v>
      </c>
      <c r="R39" s="16">
        <f t="shared" si="25"/>
        <v>370.94</v>
      </c>
      <c r="S39" s="16">
        <f t="shared" si="25"/>
        <v>370.94</v>
      </c>
      <c r="T39" s="16">
        <f t="shared" si="25"/>
        <v>370.94</v>
      </c>
    </row>
    <row r="40">
      <c r="A40" s="12" t="s">
        <v>37</v>
      </c>
      <c r="B40" s="15"/>
      <c r="C40" s="16">
        <f t="shared" ref="C40:T40" si="26">((C31)+(C34))+(C39)</f>
        <v>310.5</v>
      </c>
      <c r="D40" s="16">
        <f t="shared" si="26"/>
        <v>32.5</v>
      </c>
      <c r="E40" s="16">
        <f t="shared" si="26"/>
        <v>377.92</v>
      </c>
      <c r="F40" s="16">
        <f t="shared" si="26"/>
        <v>2166.87</v>
      </c>
      <c r="G40" s="16">
        <f t="shared" si="26"/>
        <v>6097.33</v>
      </c>
      <c r="H40" s="16">
        <f t="shared" si="26"/>
        <v>6097.33</v>
      </c>
      <c r="I40" s="16">
        <f t="shared" si="26"/>
        <v>5097.33</v>
      </c>
      <c r="J40" s="16">
        <f t="shared" si="26"/>
        <v>4097.33</v>
      </c>
      <c r="K40" s="16">
        <f t="shared" si="26"/>
        <v>3097.33</v>
      </c>
      <c r="L40" s="16">
        <f t="shared" si="26"/>
        <v>3097.33</v>
      </c>
      <c r="M40" s="16">
        <f t="shared" si="26"/>
        <v>3097.33</v>
      </c>
      <c r="N40" s="16">
        <f t="shared" si="26"/>
        <v>3097.33</v>
      </c>
      <c r="O40" s="16">
        <f t="shared" si="26"/>
        <v>3097.33</v>
      </c>
      <c r="P40" s="16">
        <f t="shared" si="26"/>
        <v>3097.33</v>
      </c>
      <c r="Q40" s="16">
        <f t="shared" si="26"/>
        <v>3097.33</v>
      </c>
      <c r="R40" s="16">
        <f t="shared" si="26"/>
        <v>3097.33</v>
      </c>
      <c r="S40" s="16">
        <f t="shared" si="26"/>
        <v>3097.33</v>
      </c>
      <c r="T40" s="16">
        <f t="shared" si="26"/>
        <v>3097.33</v>
      </c>
    </row>
    <row r="41">
      <c r="A41" s="12" t="s">
        <v>38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>
      <c r="A42" s="12" t="s">
        <v>39</v>
      </c>
      <c r="B42" s="13"/>
      <c r="C42" s="13"/>
      <c r="D42" s="14" t="str">
        <f t="shared" ref="D42:F42" si="27">C42</f>
        <v/>
      </c>
      <c r="E42" s="14" t="str">
        <f t="shared" si="27"/>
        <v/>
      </c>
      <c r="F42" s="14" t="str">
        <f t="shared" si="27"/>
        <v/>
      </c>
      <c r="G42" s="14">
        <f>25000</f>
        <v>25000</v>
      </c>
      <c r="H42" s="14">
        <f t="shared" ref="H42:S42" si="28">G42-2000</f>
        <v>23000</v>
      </c>
      <c r="I42" s="14">
        <f t="shared" si="28"/>
        <v>21000</v>
      </c>
      <c r="J42" s="14">
        <f t="shared" si="28"/>
        <v>19000</v>
      </c>
      <c r="K42" s="14">
        <f t="shared" si="28"/>
        <v>17000</v>
      </c>
      <c r="L42" s="14">
        <f t="shared" si="28"/>
        <v>15000</v>
      </c>
      <c r="M42" s="14">
        <f t="shared" si="28"/>
        <v>13000</v>
      </c>
      <c r="N42" s="14">
        <f t="shared" si="28"/>
        <v>11000</v>
      </c>
      <c r="O42" s="14">
        <f t="shared" si="28"/>
        <v>9000</v>
      </c>
      <c r="P42" s="14">
        <f t="shared" si="28"/>
        <v>7000</v>
      </c>
      <c r="Q42" s="14">
        <f t="shared" si="28"/>
        <v>5000</v>
      </c>
      <c r="R42" s="14">
        <f t="shared" si="28"/>
        <v>3000</v>
      </c>
      <c r="S42" s="14">
        <f t="shared" si="28"/>
        <v>1000</v>
      </c>
      <c r="T42" s="17">
        <v>0.0</v>
      </c>
    </row>
    <row r="43">
      <c r="A43" s="12" t="s">
        <v>40</v>
      </c>
      <c r="B43" s="15"/>
      <c r="C43" s="16" t="str">
        <f t="shared" ref="C43:T43" si="29">C42</f>
        <v/>
      </c>
      <c r="D43" s="16" t="str">
        <f t="shared" si="29"/>
        <v/>
      </c>
      <c r="E43" s="16" t="str">
        <f t="shared" si="29"/>
        <v/>
      </c>
      <c r="F43" s="16" t="str">
        <f t="shared" si="29"/>
        <v/>
      </c>
      <c r="G43" s="16">
        <f t="shared" si="29"/>
        <v>25000</v>
      </c>
      <c r="H43" s="16">
        <f t="shared" si="29"/>
        <v>23000</v>
      </c>
      <c r="I43" s="16">
        <f t="shared" si="29"/>
        <v>21000</v>
      </c>
      <c r="J43" s="16">
        <f t="shared" si="29"/>
        <v>19000</v>
      </c>
      <c r="K43" s="16">
        <f t="shared" si="29"/>
        <v>17000</v>
      </c>
      <c r="L43" s="16">
        <f t="shared" si="29"/>
        <v>15000</v>
      </c>
      <c r="M43" s="16">
        <f t="shared" si="29"/>
        <v>13000</v>
      </c>
      <c r="N43" s="16">
        <f t="shared" si="29"/>
        <v>11000</v>
      </c>
      <c r="O43" s="16">
        <f t="shared" si="29"/>
        <v>9000</v>
      </c>
      <c r="P43" s="16">
        <f t="shared" si="29"/>
        <v>7000</v>
      </c>
      <c r="Q43" s="16">
        <f t="shared" si="29"/>
        <v>5000</v>
      </c>
      <c r="R43" s="16">
        <f t="shared" si="29"/>
        <v>3000</v>
      </c>
      <c r="S43" s="16">
        <f t="shared" si="29"/>
        <v>1000</v>
      </c>
      <c r="T43" s="16">
        <f t="shared" si="29"/>
        <v>0</v>
      </c>
    </row>
    <row r="44">
      <c r="A44" s="12" t="s">
        <v>41</v>
      </c>
      <c r="B44" s="15"/>
      <c r="C44" s="16">
        <f t="shared" ref="C44:T44" si="30">(C40)+(C43)</f>
        <v>310.5</v>
      </c>
      <c r="D44" s="16">
        <f t="shared" si="30"/>
        <v>32.5</v>
      </c>
      <c r="E44" s="16">
        <f t="shared" si="30"/>
        <v>377.92</v>
      </c>
      <c r="F44" s="16">
        <f t="shared" si="30"/>
        <v>2166.87</v>
      </c>
      <c r="G44" s="16">
        <f t="shared" si="30"/>
        <v>31097.33</v>
      </c>
      <c r="H44" s="16">
        <f t="shared" si="30"/>
        <v>29097.33</v>
      </c>
      <c r="I44" s="16">
        <f t="shared" si="30"/>
        <v>26097.33</v>
      </c>
      <c r="J44" s="16">
        <f t="shared" si="30"/>
        <v>23097.33</v>
      </c>
      <c r="K44" s="16">
        <f t="shared" si="30"/>
        <v>20097.33</v>
      </c>
      <c r="L44" s="16">
        <f t="shared" si="30"/>
        <v>18097.33</v>
      </c>
      <c r="M44" s="16">
        <f t="shared" si="30"/>
        <v>16097.33</v>
      </c>
      <c r="N44" s="16">
        <f t="shared" si="30"/>
        <v>14097.33</v>
      </c>
      <c r="O44" s="16">
        <f t="shared" si="30"/>
        <v>12097.33</v>
      </c>
      <c r="P44" s="16">
        <f t="shared" si="30"/>
        <v>10097.33</v>
      </c>
      <c r="Q44" s="16">
        <f t="shared" si="30"/>
        <v>8097.33</v>
      </c>
      <c r="R44" s="16">
        <f t="shared" si="30"/>
        <v>6097.33</v>
      </c>
      <c r="S44" s="16">
        <f t="shared" si="30"/>
        <v>4097.33</v>
      </c>
      <c r="T44" s="16">
        <f t="shared" si="30"/>
        <v>3097.33</v>
      </c>
    </row>
    <row r="45">
      <c r="A45" s="12" t="s">
        <v>42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>
      <c r="A46" s="12" t="s">
        <v>43</v>
      </c>
      <c r="B46" s="14"/>
      <c r="C46" s="14">
        <f>5000</f>
        <v>5000</v>
      </c>
      <c r="D46" s="14">
        <f t="shared" ref="D46:E46" si="31">C46</f>
        <v>5000</v>
      </c>
      <c r="E46" s="14">
        <f t="shared" si="31"/>
        <v>5000</v>
      </c>
      <c r="F46" s="14">
        <f>18495</f>
        <v>18495</v>
      </c>
      <c r="G46" s="14">
        <f t="shared" ref="G46:T46" si="32">-9337.5</f>
        <v>-9337.5</v>
      </c>
      <c r="H46" s="14">
        <f t="shared" si="32"/>
        <v>-9337.5</v>
      </c>
      <c r="I46" s="14">
        <f t="shared" si="32"/>
        <v>-9337.5</v>
      </c>
      <c r="J46" s="14">
        <f t="shared" si="32"/>
        <v>-9337.5</v>
      </c>
      <c r="K46" s="14">
        <f t="shared" si="32"/>
        <v>-9337.5</v>
      </c>
      <c r="L46" s="14">
        <f t="shared" si="32"/>
        <v>-9337.5</v>
      </c>
      <c r="M46" s="14">
        <f t="shared" si="32"/>
        <v>-9337.5</v>
      </c>
      <c r="N46" s="14">
        <f t="shared" si="32"/>
        <v>-9337.5</v>
      </c>
      <c r="O46" s="14">
        <f t="shared" si="32"/>
        <v>-9337.5</v>
      </c>
      <c r="P46" s="14">
        <f t="shared" si="32"/>
        <v>-9337.5</v>
      </c>
      <c r="Q46" s="14">
        <f t="shared" si="32"/>
        <v>-9337.5</v>
      </c>
      <c r="R46" s="14">
        <f t="shared" si="32"/>
        <v>-9337.5</v>
      </c>
      <c r="S46" s="14">
        <f t="shared" si="32"/>
        <v>-9337.5</v>
      </c>
      <c r="T46" s="14">
        <f t="shared" si="32"/>
        <v>-9337.5</v>
      </c>
    </row>
    <row r="47">
      <c r="A47" s="12" t="s">
        <v>44</v>
      </c>
      <c r="B47" s="13"/>
      <c r="C47" s="13"/>
      <c r="D47" s="14" t="str">
        <f t="shared" ref="D47:T47" si="33">C47</f>
        <v/>
      </c>
      <c r="E47" s="14" t="str">
        <f t="shared" si="33"/>
        <v/>
      </c>
      <c r="F47" s="14" t="str">
        <f t="shared" si="33"/>
        <v/>
      </c>
      <c r="G47" s="14" t="str">
        <f t="shared" si="33"/>
        <v/>
      </c>
      <c r="H47" s="14" t="str">
        <f t="shared" si="33"/>
        <v/>
      </c>
      <c r="I47" s="14" t="str">
        <f t="shared" si="33"/>
        <v/>
      </c>
      <c r="J47" s="14" t="str">
        <f t="shared" si="33"/>
        <v/>
      </c>
      <c r="K47" s="14" t="str">
        <f t="shared" si="33"/>
        <v/>
      </c>
      <c r="L47" s="14" t="str">
        <f t="shared" si="33"/>
        <v/>
      </c>
      <c r="M47" s="14" t="str">
        <f t="shared" si="33"/>
        <v/>
      </c>
      <c r="N47" s="14" t="str">
        <f t="shared" si="33"/>
        <v/>
      </c>
      <c r="O47" s="14" t="str">
        <f t="shared" si="33"/>
        <v/>
      </c>
      <c r="P47" s="14" t="str">
        <f t="shared" si="33"/>
        <v/>
      </c>
      <c r="Q47" s="14" t="str">
        <f t="shared" si="33"/>
        <v/>
      </c>
      <c r="R47" s="14" t="str">
        <f t="shared" si="33"/>
        <v/>
      </c>
      <c r="S47" s="14" t="str">
        <f t="shared" si="33"/>
        <v/>
      </c>
      <c r="T47" s="14" t="str">
        <f t="shared" si="33"/>
        <v/>
      </c>
    </row>
    <row r="48">
      <c r="A48" s="12" t="s">
        <v>45</v>
      </c>
      <c r="B48" s="14"/>
      <c r="C48" s="14">
        <f>91.25</f>
        <v>91.25</v>
      </c>
      <c r="D48" s="14">
        <f>456.25</f>
        <v>456.25</v>
      </c>
      <c r="E48" s="14">
        <f>868.68</f>
        <v>868.68</v>
      </c>
      <c r="F48" s="14">
        <f>-4.32</f>
        <v>-4.32</v>
      </c>
      <c r="G48" s="14">
        <f>1676.46</f>
        <v>1676.46</v>
      </c>
      <c r="H48" s="14">
        <f>G48+'Profit and Loss'!G63</f>
        <v>1641.413333</v>
      </c>
      <c r="I48" s="14">
        <f>H48+'Profit and Loss'!H63</f>
        <v>2734.421667</v>
      </c>
      <c r="J48" s="14">
        <f>I48+'Profit and Loss'!I63</f>
        <v>3930.075</v>
      </c>
      <c r="K48" s="14">
        <f>J48+'Profit and Loss'!J63</f>
        <v>5139.218</v>
      </c>
      <c r="L48" s="14">
        <f>K48+'Profit and Loss'!K63</f>
        <v>6678.2396</v>
      </c>
      <c r="M48" s="14">
        <f>L48+'Profit and Loss'!L63</f>
        <v>7358.59552</v>
      </c>
      <c r="N48" s="14">
        <f>M48+'Profit and Loss'!M63</f>
        <v>8102.031957</v>
      </c>
      <c r="O48" s="14">
        <f>N48+'Profit and Loss'!N63</f>
        <v>9375.554015</v>
      </c>
      <c r="P48" s="14">
        <f>O48+'Profit and Loss'!O63</f>
        <v>10664.64982</v>
      </c>
      <c r="Q48" s="14">
        <f>P48+'Profit and Loss'!P63</f>
        <v>11969.73618</v>
      </c>
      <c r="R48" s="14">
        <f>Q48+'Profit and Loss'!Q63</f>
        <v>13228.0355</v>
      </c>
      <c r="S48" s="14">
        <f>R48+'Profit and Loss'!R63</f>
        <v>14501.92349</v>
      </c>
      <c r="T48" s="14">
        <f>S48+'Profit and Loss'!S63</f>
        <v>15781.9018</v>
      </c>
    </row>
    <row r="49">
      <c r="A49" s="12" t="s">
        <v>46</v>
      </c>
      <c r="B49" s="15"/>
      <c r="C49" s="16">
        <f t="shared" ref="C49:T49" si="34">((C46)+(C47))+(C48)</f>
        <v>5091.25</v>
      </c>
      <c r="D49" s="16">
        <f t="shared" si="34"/>
        <v>5456.25</v>
      </c>
      <c r="E49" s="16">
        <f t="shared" si="34"/>
        <v>5868.68</v>
      </c>
      <c r="F49" s="16">
        <f t="shared" si="34"/>
        <v>18490.68</v>
      </c>
      <c r="G49" s="16">
        <f t="shared" si="34"/>
        <v>-7661.04</v>
      </c>
      <c r="H49" s="16">
        <f t="shared" si="34"/>
        <v>-7696.086667</v>
      </c>
      <c r="I49" s="16">
        <f t="shared" si="34"/>
        <v>-6603.078333</v>
      </c>
      <c r="J49" s="16">
        <f t="shared" si="34"/>
        <v>-5407.425</v>
      </c>
      <c r="K49" s="16">
        <f t="shared" si="34"/>
        <v>-4198.282</v>
      </c>
      <c r="L49" s="16">
        <f t="shared" si="34"/>
        <v>-2659.2604</v>
      </c>
      <c r="M49" s="16">
        <f t="shared" si="34"/>
        <v>-1978.90448</v>
      </c>
      <c r="N49" s="16">
        <f t="shared" si="34"/>
        <v>-1235.468043</v>
      </c>
      <c r="O49" s="16">
        <f t="shared" si="34"/>
        <v>38.05401547</v>
      </c>
      <c r="P49" s="16">
        <f t="shared" si="34"/>
        <v>1327.149819</v>
      </c>
      <c r="Q49" s="16">
        <f t="shared" si="34"/>
        <v>2632.236182</v>
      </c>
      <c r="R49" s="16">
        <f t="shared" si="34"/>
        <v>3890.535499</v>
      </c>
      <c r="S49" s="16">
        <f t="shared" si="34"/>
        <v>5164.423494</v>
      </c>
      <c r="T49" s="16">
        <f t="shared" si="34"/>
        <v>6444.401802</v>
      </c>
    </row>
    <row r="50">
      <c r="A50" s="12" t="s">
        <v>47</v>
      </c>
      <c r="B50" s="15"/>
      <c r="C50" s="16">
        <f t="shared" ref="C50:T50" si="35">(C44)+(C49)</f>
        <v>5401.75</v>
      </c>
      <c r="D50" s="16">
        <f t="shared" si="35"/>
        <v>5488.75</v>
      </c>
      <c r="E50" s="16">
        <f t="shared" si="35"/>
        <v>6246.6</v>
      </c>
      <c r="F50" s="16">
        <f t="shared" si="35"/>
        <v>20657.55</v>
      </c>
      <c r="G50" s="16">
        <f t="shared" si="35"/>
        <v>23436.29</v>
      </c>
      <c r="H50" s="16">
        <f t="shared" si="35"/>
        <v>21401.24333</v>
      </c>
      <c r="I50" s="16">
        <f t="shared" si="35"/>
        <v>19494.25167</v>
      </c>
      <c r="J50" s="16">
        <f t="shared" si="35"/>
        <v>17689.905</v>
      </c>
      <c r="K50" s="16">
        <f t="shared" si="35"/>
        <v>15899.048</v>
      </c>
      <c r="L50" s="16">
        <f t="shared" si="35"/>
        <v>15438.0696</v>
      </c>
      <c r="M50" s="16">
        <f t="shared" si="35"/>
        <v>14118.42552</v>
      </c>
      <c r="N50" s="16">
        <f t="shared" si="35"/>
        <v>12861.86196</v>
      </c>
      <c r="O50" s="16">
        <f t="shared" si="35"/>
        <v>12135.38402</v>
      </c>
      <c r="P50" s="16">
        <f t="shared" si="35"/>
        <v>11424.47982</v>
      </c>
      <c r="Q50" s="16">
        <f t="shared" si="35"/>
        <v>10729.56618</v>
      </c>
      <c r="R50" s="16">
        <f t="shared" si="35"/>
        <v>9987.865499</v>
      </c>
      <c r="S50" s="16">
        <f t="shared" si="35"/>
        <v>9261.753494</v>
      </c>
      <c r="T50" s="16">
        <f t="shared" si="35"/>
        <v>9541.731802</v>
      </c>
    </row>
    <row r="51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>
      <c r="A52" s="18" t="s">
        <v>48</v>
      </c>
      <c r="B52" s="7"/>
      <c r="C52" s="19">
        <f t="shared" ref="C52:T52" si="36">C25-C50</f>
        <v>0</v>
      </c>
      <c r="D52" s="19">
        <f t="shared" si="36"/>
        <v>0</v>
      </c>
      <c r="E52" s="19">
        <f t="shared" si="36"/>
        <v>0</v>
      </c>
      <c r="F52" s="19">
        <f t="shared" si="36"/>
        <v>0</v>
      </c>
      <c r="G52" s="19">
        <f t="shared" si="36"/>
        <v>0</v>
      </c>
      <c r="H52" s="19">
        <f t="shared" si="36"/>
        <v>0</v>
      </c>
      <c r="I52" s="19">
        <f t="shared" si="36"/>
        <v>0</v>
      </c>
      <c r="J52" s="19">
        <f t="shared" si="36"/>
        <v>0</v>
      </c>
      <c r="K52" s="19">
        <f t="shared" si="36"/>
        <v>0</v>
      </c>
      <c r="L52" s="19">
        <f t="shared" si="36"/>
        <v>0</v>
      </c>
      <c r="M52" s="19">
        <f t="shared" si="36"/>
        <v>0</v>
      </c>
      <c r="N52" s="19">
        <f t="shared" si="36"/>
        <v>0</v>
      </c>
      <c r="O52" s="19">
        <f t="shared" si="36"/>
        <v>0</v>
      </c>
      <c r="P52" s="19">
        <f t="shared" si="36"/>
        <v>0</v>
      </c>
      <c r="Q52" s="19">
        <f t="shared" si="36"/>
        <v>0</v>
      </c>
      <c r="R52" s="19">
        <f t="shared" si="36"/>
        <v>0</v>
      </c>
      <c r="S52" s="19">
        <f t="shared" si="36"/>
        <v>0</v>
      </c>
      <c r="T52" s="19">
        <f t="shared" si="36"/>
        <v>0</v>
      </c>
      <c r="U52" s="7"/>
      <c r="V52" s="7"/>
      <c r="W52" s="7"/>
      <c r="X52" s="7"/>
      <c r="Y52" s="7"/>
      <c r="Z52" s="7"/>
      <c r="AA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33.57"/>
    <col customWidth="1" min="2" max="19" width="10.29"/>
    <col customWidth="1" min="20" max="25" width="8.71"/>
  </cols>
  <sheetData>
    <row r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>
      <c r="A2" s="1" t="s">
        <v>49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>
      <c r="A3" s="4" t="s">
        <v>50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>
      <c r="A4" s="7"/>
      <c r="B4" s="7"/>
      <c r="C4" s="7"/>
      <c r="D4" s="7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>
      <c r="A5" s="9"/>
      <c r="B5" s="11">
        <v>42736.0</v>
      </c>
      <c r="C5" s="11">
        <f t="shared" ref="C5:S5" si="1">date(year(B5),month(B5)+1,day(B5))</f>
        <v>42767</v>
      </c>
      <c r="D5" s="11">
        <f t="shared" si="1"/>
        <v>42795</v>
      </c>
      <c r="E5" s="11">
        <f t="shared" si="1"/>
        <v>42826</v>
      </c>
      <c r="F5" s="11">
        <f t="shared" si="1"/>
        <v>42856</v>
      </c>
      <c r="G5" s="11">
        <f t="shared" si="1"/>
        <v>42887</v>
      </c>
      <c r="H5" s="11">
        <f t="shared" si="1"/>
        <v>42917</v>
      </c>
      <c r="I5" s="11">
        <f t="shared" si="1"/>
        <v>42948</v>
      </c>
      <c r="J5" s="11">
        <f t="shared" si="1"/>
        <v>42979</v>
      </c>
      <c r="K5" s="11">
        <f t="shared" si="1"/>
        <v>43009</v>
      </c>
      <c r="L5" s="11">
        <f t="shared" si="1"/>
        <v>43040</v>
      </c>
      <c r="M5" s="11">
        <f t="shared" si="1"/>
        <v>43070</v>
      </c>
      <c r="N5" s="11">
        <f t="shared" si="1"/>
        <v>43101</v>
      </c>
      <c r="O5" s="11">
        <f t="shared" si="1"/>
        <v>43132</v>
      </c>
      <c r="P5" s="11">
        <f t="shared" si="1"/>
        <v>43160</v>
      </c>
      <c r="Q5" s="11">
        <f t="shared" si="1"/>
        <v>43191</v>
      </c>
      <c r="R5" s="11">
        <f t="shared" si="1"/>
        <v>43221</v>
      </c>
      <c r="S5" s="11">
        <f t="shared" si="1"/>
        <v>43252</v>
      </c>
    </row>
    <row r="6">
      <c r="A6" s="12" t="s">
        <v>51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>
      <c r="A7" s="12" t="s">
        <v>52</v>
      </c>
      <c r="B7" s="13"/>
      <c r="C7" s="13"/>
      <c r="D7" s="13"/>
      <c r="E7" s="14">
        <f>975</f>
        <v>975</v>
      </c>
      <c r="F7" s="14">
        <f>1275</f>
        <v>1275</v>
      </c>
      <c r="G7" s="17">
        <f t="shared" ref="G7:S7" si="2">average(B7:F7)</f>
        <v>1125</v>
      </c>
      <c r="H7" s="17">
        <f t="shared" si="2"/>
        <v>1125</v>
      </c>
      <c r="I7" s="17">
        <f t="shared" si="2"/>
        <v>1125</v>
      </c>
      <c r="J7" s="17">
        <f t="shared" si="2"/>
        <v>1125</v>
      </c>
      <c r="K7" s="17">
        <f t="shared" si="2"/>
        <v>1155</v>
      </c>
      <c r="L7" s="17">
        <f t="shared" si="2"/>
        <v>1131</v>
      </c>
      <c r="M7" s="17">
        <f t="shared" si="2"/>
        <v>1132.2</v>
      </c>
      <c r="N7" s="17">
        <f t="shared" si="2"/>
        <v>1133.64</v>
      </c>
      <c r="O7" s="17">
        <f t="shared" si="2"/>
        <v>1135.368</v>
      </c>
      <c r="P7" s="17">
        <f t="shared" si="2"/>
        <v>1137.4416</v>
      </c>
      <c r="Q7" s="17">
        <f t="shared" si="2"/>
        <v>1133.92992</v>
      </c>
      <c r="R7" s="17">
        <f t="shared" si="2"/>
        <v>1134.515904</v>
      </c>
      <c r="S7" s="17">
        <f t="shared" si="2"/>
        <v>1134.979085</v>
      </c>
    </row>
    <row r="8">
      <c r="A8" s="12" t="s">
        <v>53</v>
      </c>
      <c r="B8" s="13"/>
      <c r="C8" s="13"/>
      <c r="D8" s="13"/>
      <c r="E8" s="13"/>
      <c r="F8" s="14">
        <f>-89.5</f>
        <v>-89.5</v>
      </c>
      <c r="G8" s="17">
        <f t="shared" ref="G8:S8" si="3">average(B8:F8)</f>
        <v>-89.5</v>
      </c>
      <c r="H8" s="17">
        <f t="shared" si="3"/>
        <v>-89.5</v>
      </c>
      <c r="I8" s="17">
        <f t="shared" si="3"/>
        <v>-89.5</v>
      </c>
      <c r="J8" s="17">
        <f t="shared" si="3"/>
        <v>-89.5</v>
      </c>
      <c r="K8" s="17">
        <f t="shared" si="3"/>
        <v>-89.5</v>
      </c>
      <c r="L8" s="17">
        <f t="shared" si="3"/>
        <v>-89.5</v>
      </c>
      <c r="M8" s="17">
        <f t="shared" si="3"/>
        <v>-89.5</v>
      </c>
      <c r="N8" s="17">
        <f t="shared" si="3"/>
        <v>-89.5</v>
      </c>
      <c r="O8" s="17">
        <f t="shared" si="3"/>
        <v>-89.5</v>
      </c>
      <c r="P8" s="17">
        <f t="shared" si="3"/>
        <v>-89.5</v>
      </c>
      <c r="Q8" s="17">
        <f t="shared" si="3"/>
        <v>-89.5</v>
      </c>
      <c r="R8" s="17">
        <f t="shared" si="3"/>
        <v>-89.5</v>
      </c>
      <c r="S8" s="17">
        <f t="shared" si="3"/>
        <v>-89.5</v>
      </c>
    </row>
    <row r="9">
      <c r="A9" s="12" t="s">
        <v>54</v>
      </c>
      <c r="B9" s="14">
        <f>190</f>
        <v>190</v>
      </c>
      <c r="C9" s="14">
        <f>90</f>
        <v>90</v>
      </c>
      <c r="D9" s="14">
        <f>320</f>
        <v>320</v>
      </c>
      <c r="E9" s="14">
        <f>235</f>
        <v>235</v>
      </c>
      <c r="F9" s="14">
        <f>642.5</f>
        <v>642.5</v>
      </c>
      <c r="G9" s="17">
        <f t="shared" ref="G9:S9" si="4">average(B9:F9)</f>
        <v>295.5</v>
      </c>
      <c r="H9" s="17">
        <f t="shared" si="4"/>
        <v>316.6</v>
      </c>
      <c r="I9" s="17">
        <f t="shared" si="4"/>
        <v>361.92</v>
      </c>
      <c r="J9" s="17">
        <f t="shared" si="4"/>
        <v>370.304</v>
      </c>
      <c r="K9" s="17">
        <f t="shared" si="4"/>
        <v>397.3648</v>
      </c>
      <c r="L9" s="17">
        <f t="shared" si="4"/>
        <v>348.33776</v>
      </c>
      <c r="M9" s="17">
        <f t="shared" si="4"/>
        <v>358.905312</v>
      </c>
      <c r="N9" s="17">
        <f t="shared" si="4"/>
        <v>367.3663744</v>
      </c>
      <c r="O9" s="17">
        <f t="shared" si="4"/>
        <v>368.4556493</v>
      </c>
      <c r="P9" s="17">
        <f t="shared" si="4"/>
        <v>368.0859791</v>
      </c>
      <c r="Q9" s="17">
        <f t="shared" si="4"/>
        <v>362.230215</v>
      </c>
      <c r="R9" s="17">
        <f t="shared" si="4"/>
        <v>365.008706</v>
      </c>
      <c r="S9" s="17">
        <f t="shared" si="4"/>
        <v>366.2293847</v>
      </c>
    </row>
    <row r="10">
      <c r="A10" s="12" t="s">
        <v>55</v>
      </c>
      <c r="B10" s="13"/>
      <c r="C10" s="13"/>
      <c r="D10" s="13"/>
      <c r="E10" s="13"/>
      <c r="F10" s="13"/>
      <c r="G10" s="20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>
      <c r="A11" s="12" t="s">
        <v>56</v>
      </c>
      <c r="B11" s="13"/>
      <c r="C11" s="14">
        <f>275</f>
        <v>275</v>
      </c>
      <c r="D11" s="14">
        <f>470</f>
        <v>470</v>
      </c>
      <c r="E11" s="14">
        <f>275</f>
        <v>275</v>
      </c>
      <c r="F11" s="14">
        <f>1226.5</f>
        <v>1226.5</v>
      </c>
      <c r="G11" s="17">
        <f t="shared" ref="G11:S11" si="5">average(B11:F11)</f>
        <v>561.625</v>
      </c>
      <c r="H11" s="17">
        <f t="shared" si="5"/>
        <v>561.625</v>
      </c>
      <c r="I11" s="17">
        <f t="shared" si="5"/>
        <v>618.95</v>
      </c>
      <c r="J11" s="17">
        <f t="shared" si="5"/>
        <v>648.74</v>
      </c>
      <c r="K11" s="17">
        <f t="shared" si="5"/>
        <v>723.488</v>
      </c>
      <c r="L11" s="17">
        <f t="shared" si="5"/>
        <v>622.8856</v>
      </c>
      <c r="M11" s="17">
        <f t="shared" si="5"/>
        <v>635.13772</v>
      </c>
      <c r="N11" s="17">
        <f t="shared" si="5"/>
        <v>649.840264</v>
      </c>
      <c r="O11" s="17">
        <f t="shared" si="5"/>
        <v>656.0183168</v>
      </c>
      <c r="P11" s="17">
        <f t="shared" si="5"/>
        <v>657.4739802</v>
      </c>
      <c r="Q11" s="17">
        <f t="shared" si="5"/>
        <v>644.2711762</v>
      </c>
      <c r="R11" s="17">
        <f t="shared" si="5"/>
        <v>648.5482914</v>
      </c>
      <c r="S11" s="17">
        <f t="shared" si="5"/>
        <v>651.2304057</v>
      </c>
    </row>
    <row r="12">
      <c r="A12" s="12" t="s">
        <v>57</v>
      </c>
      <c r="B12" s="14">
        <f>131.25</f>
        <v>131.25</v>
      </c>
      <c r="C12" s="13"/>
      <c r="D12" s="13"/>
      <c r="E12" s="14">
        <f>125.64</f>
        <v>125.64</v>
      </c>
      <c r="F12" s="14">
        <f>2095.08</f>
        <v>2095.08</v>
      </c>
      <c r="G12" s="17">
        <f t="shared" ref="G12:S12" si="6">average(B12:F12)</f>
        <v>783.99</v>
      </c>
      <c r="H12" s="17">
        <f t="shared" si="6"/>
        <v>1001.57</v>
      </c>
      <c r="I12" s="17">
        <f t="shared" si="6"/>
        <v>1001.57</v>
      </c>
      <c r="J12" s="17">
        <f t="shared" si="6"/>
        <v>1001.57</v>
      </c>
      <c r="K12" s="17">
        <f t="shared" si="6"/>
        <v>1176.756</v>
      </c>
      <c r="L12" s="17">
        <f t="shared" si="6"/>
        <v>993.0912</v>
      </c>
      <c r="M12" s="17">
        <f t="shared" si="6"/>
        <v>1034.91144</v>
      </c>
      <c r="N12" s="17">
        <f t="shared" si="6"/>
        <v>1041.579728</v>
      </c>
      <c r="O12" s="17">
        <f t="shared" si="6"/>
        <v>1049.581674</v>
      </c>
      <c r="P12" s="17">
        <f t="shared" si="6"/>
        <v>1059.184008</v>
      </c>
      <c r="Q12" s="17">
        <f t="shared" si="6"/>
        <v>1035.66961</v>
      </c>
      <c r="R12" s="17">
        <f t="shared" si="6"/>
        <v>1044.185292</v>
      </c>
      <c r="S12" s="17">
        <f t="shared" si="6"/>
        <v>1046.040062</v>
      </c>
    </row>
    <row r="13">
      <c r="A13" s="12" t="s">
        <v>58</v>
      </c>
      <c r="B13" s="13"/>
      <c r="C13" s="13"/>
      <c r="D13" s="14">
        <f>108</f>
        <v>108</v>
      </c>
      <c r="E13" s="13"/>
      <c r="F13" s="14">
        <f>30</f>
        <v>30</v>
      </c>
      <c r="G13" s="17">
        <f t="shared" ref="G13:S13" si="7">average(B13:F13)</f>
        <v>69</v>
      </c>
      <c r="H13" s="17">
        <f t="shared" si="7"/>
        <v>69</v>
      </c>
      <c r="I13" s="17">
        <f t="shared" si="7"/>
        <v>69</v>
      </c>
      <c r="J13" s="17">
        <f t="shared" si="7"/>
        <v>59.25</v>
      </c>
      <c r="K13" s="17">
        <f t="shared" si="7"/>
        <v>59.25</v>
      </c>
      <c r="L13" s="17">
        <f t="shared" si="7"/>
        <v>65.1</v>
      </c>
      <c r="M13" s="17">
        <f t="shared" si="7"/>
        <v>64.32</v>
      </c>
      <c r="N13" s="17">
        <f t="shared" si="7"/>
        <v>63.384</v>
      </c>
      <c r="O13" s="17">
        <f t="shared" si="7"/>
        <v>62.2608</v>
      </c>
      <c r="P13" s="17">
        <f t="shared" si="7"/>
        <v>62.86296</v>
      </c>
      <c r="Q13" s="17">
        <f t="shared" si="7"/>
        <v>63.585552</v>
      </c>
      <c r="R13" s="17">
        <f t="shared" si="7"/>
        <v>63.2826624</v>
      </c>
      <c r="S13" s="17">
        <f t="shared" si="7"/>
        <v>63.07519488</v>
      </c>
    </row>
    <row r="14">
      <c r="A14" s="12" t="s">
        <v>59</v>
      </c>
      <c r="B14" s="16">
        <f t="shared" ref="B14:S14" si="8">(((B10)+(B11))+(B12))+(B13)</f>
        <v>131.25</v>
      </c>
      <c r="C14" s="16">
        <f t="shared" si="8"/>
        <v>275</v>
      </c>
      <c r="D14" s="16">
        <f t="shared" si="8"/>
        <v>578</v>
      </c>
      <c r="E14" s="16">
        <f t="shared" si="8"/>
        <v>400.64</v>
      </c>
      <c r="F14" s="16">
        <f t="shared" si="8"/>
        <v>3351.58</v>
      </c>
      <c r="G14" s="16">
        <f t="shared" si="8"/>
        <v>1414.615</v>
      </c>
      <c r="H14" s="16">
        <f t="shared" si="8"/>
        <v>1632.195</v>
      </c>
      <c r="I14" s="16">
        <f t="shared" si="8"/>
        <v>1689.52</v>
      </c>
      <c r="J14" s="16">
        <f t="shared" si="8"/>
        <v>1709.56</v>
      </c>
      <c r="K14" s="16">
        <f t="shared" si="8"/>
        <v>1959.494</v>
      </c>
      <c r="L14" s="16">
        <f t="shared" si="8"/>
        <v>1681.0768</v>
      </c>
      <c r="M14" s="16">
        <f t="shared" si="8"/>
        <v>1734.36916</v>
      </c>
      <c r="N14" s="16">
        <f t="shared" si="8"/>
        <v>1754.803992</v>
      </c>
      <c r="O14" s="16">
        <f t="shared" si="8"/>
        <v>1767.86079</v>
      </c>
      <c r="P14" s="16">
        <f t="shared" si="8"/>
        <v>1779.520948</v>
      </c>
      <c r="Q14" s="16">
        <f t="shared" si="8"/>
        <v>1743.526338</v>
      </c>
      <c r="R14" s="16">
        <f t="shared" si="8"/>
        <v>1756.016246</v>
      </c>
      <c r="S14" s="16">
        <f t="shared" si="8"/>
        <v>1760.345663</v>
      </c>
    </row>
    <row r="15">
      <c r="A15" s="12" t="s">
        <v>60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>
      <c r="A16" s="12" t="s">
        <v>61</v>
      </c>
      <c r="B16" s="13"/>
      <c r="C16" s="13"/>
      <c r="D16" s="13"/>
      <c r="E16" s="13"/>
      <c r="F16" s="14">
        <f>250</f>
        <v>250</v>
      </c>
      <c r="G16" s="17">
        <f t="shared" ref="G16:S16" si="9">average(B16:F16)</f>
        <v>250</v>
      </c>
      <c r="H16" s="17">
        <f t="shared" si="9"/>
        <v>250</v>
      </c>
      <c r="I16" s="17">
        <f t="shared" si="9"/>
        <v>250</v>
      </c>
      <c r="J16" s="17">
        <f t="shared" si="9"/>
        <v>250</v>
      </c>
      <c r="K16" s="17">
        <f t="shared" si="9"/>
        <v>250</v>
      </c>
      <c r="L16" s="17">
        <f t="shared" si="9"/>
        <v>250</v>
      </c>
      <c r="M16" s="17">
        <f t="shared" si="9"/>
        <v>250</v>
      </c>
      <c r="N16" s="17">
        <f t="shared" si="9"/>
        <v>250</v>
      </c>
      <c r="O16" s="17">
        <f t="shared" si="9"/>
        <v>250</v>
      </c>
      <c r="P16" s="17">
        <f t="shared" si="9"/>
        <v>250</v>
      </c>
      <c r="Q16" s="17">
        <f t="shared" si="9"/>
        <v>250</v>
      </c>
      <c r="R16" s="17">
        <f t="shared" si="9"/>
        <v>250</v>
      </c>
      <c r="S16" s="17">
        <f t="shared" si="9"/>
        <v>250</v>
      </c>
    </row>
    <row r="17">
      <c r="A17" s="12" t="s">
        <v>62</v>
      </c>
      <c r="B17" s="13"/>
      <c r="C17" s="13"/>
      <c r="D17" s="14">
        <f>50</f>
        <v>50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>
      <c r="A18" s="12" t="s">
        <v>63</v>
      </c>
      <c r="B18" s="16">
        <f t="shared" ref="B18:S18" si="10">((B15)+(B16))+(B17)</f>
        <v>0</v>
      </c>
      <c r="C18" s="16">
        <f t="shared" si="10"/>
        <v>0</v>
      </c>
      <c r="D18" s="16">
        <f t="shared" si="10"/>
        <v>50</v>
      </c>
      <c r="E18" s="16">
        <f t="shared" si="10"/>
        <v>0</v>
      </c>
      <c r="F18" s="16">
        <f t="shared" si="10"/>
        <v>250</v>
      </c>
      <c r="G18" s="16">
        <f t="shared" si="10"/>
        <v>250</v>
      </c>
      <c r="H18" s="16">
        <f t="shared" si="10"/>
        <v>250</v>
      </c>
      <c r="I18" s="16">
        <f t="shared" si="10"/>
        <v>250</v>
      </c>
      <c r="J18" s="16">
        <f t="shared" si="10"/>
        <v>250</v>
      </c>
      <c r="K18" s="16">
        <f t="shared" si="10"/>
        <v>250</v>
      </c>
      <c r="L18" s="16">
        <f t="shared" si="10"/>
        <v>250</v>
      </c>
      <c r="M18" s="16">
        <f t="shared" si="10"/>
        <v>250</v>
      </c>
      <c r="N18" s="16">
        <f t="shared" si="10"/>
        <v>250</v>
      </c>
      <c r="O18" s="16">
        <f t="shared" si="10"/>
        <v>250</v>
      </c>
      <c r="P18" s="16">
        <f t="shared" si="10"/>
        <v>250</v>
      </c>
      <c r="Q18" s="16">
        <f t="shared" si="10"/>
        <v>250</v>
      </c>
      <c r="R18" s="16">
        <f t="shared" si="10"/>
        <v>250</v>
      </c>
      <c r="S18" s="16">
        <f t="shared" si="10"/>
        <v>250</v>
      </c>
    </row>
    <row r="19">
      <c r="A19" s="12" t="s">
        <v>64</v>
      </c>
      <c r="B19" s="16">
        <f t="shared" ref="B19:S19" si="11">((B9)+(B14))+(B18)</f>
        <v>321.25</v>
      </c>
      <c r="C19" s="16">
        <f t="shared" si="11"/>
        <v>365</v>
      </c>
      <c r="D19" s="16">
        <f t="shared" si="11"/>
        <v>948</v>
      </c>
      <c r="E19" s="16">
        <f t="shared" si="11"/>
        <v>635.64</v>
      </c>
      <c r="F19" s="16">
        <f t="shared" si="11"/>
        <v>4244.08</v>
      </c>
      <c r="G19" s="16">
        <f t="shared" si="11"/>
        <v>1960.115</v>
      </c>
      <c r="H19" s="16">
        <f t="shared" si="11"/>
        <v>2198.795</v>
      </c>
      <c r="I19" s="16">
        <f t="shared" si="11"/>
        <v>2301.44</v>
      </c>
      <c r="J19" s="16">
        <f t="shared" si="11"/>
        <v>2329.864</v>
      </c>
      <c r="K19" s="16">
        <f t="shared" si="11"/>
        <v>2606.8588</v>
      </c>
      <c r="L19" s="16">
        <f t="shared" si="11"/>
        <v>2279.41456</v>
      </c>
      <c r="M19" s="16">
        <f t="shared" si="11"/>
        <v>2343.274472</v>
      </c>
      <c r="N19" s="16">
        <f t="shared" si="11"/>
        <v>2372.170366</v>
      </c>
      <c r="O19" s="16">
        <f t="shared" si="11"/>
        <v>2386.31644</v>
      </c>
      <c r="P19" s="16">
        <f t="shared" si="11"/>
        <v>2397.606928</v>
      </c>
      <c r="Q19" s="16">
        <f t="shared" si="11"/>
        <v>2355.756553</v>
      </c>
      <c r="R19" s="16">
        <f t="shared" si="11"/>
        <v>2371.024952</v>
      </c>
      <c r="S19" s="16">
        <f t="shared" si="11"/>
        <v>2376.575048</v>
      </c>
    </row>
    <row r="20">
      <c r="A20" s="12" t="s">
        <v>65</v>
      </c>
      <c r="B20" s="14">
        <f>70</f>
        <v>70</v>
      </c>
      <c r="C20" s="13"/>
      <c r="D20" s="14">
        <f>70</f>
        <v>70</v>
      </c>
      <c r="E20" s="14">
        <f>-100</f>
        <v>-100</v>
      </c>
      <c r="F20" s="14">
        <f>70</f>
        <v>70</v>
      </c>
      <c r="G20" s="17">
        <f t="shared" ref="G20:S20" si="12">average(B20:F20)</f>
        <v>27.5</v>
      </c>
      <c r="H20" s="17">
        <f t="shared" si="12"/>
        <v>16.875</v>
      </c>
      <c r="I20" s="17">
        <f t="shared" si="12"/>
        <v>16.875</v>
      </c>
      <c r="J20" s="17">
        <f t="shared" si="12"/>
        <v>6.25</v>
      </c>
      <c r="K20" s="17">
        <f t="shared" si="12"/>
        <v>27.5</v>
      </c>
      <c r="L20" s="17">
        <f t="shared" si="12"/>
        <v>19</v>
      </c>
      <c r="M20" s="17">
        <f t="shared" si="12"/>
        <v>17.3</v>
      </c>
      <c r="N20" s="17">
        <f t="shared" si="12"/>
        <v>17.385</v>
      </c>
      <c r="O20" s="17">
        <f t="shared" si="12"/>
        <v>17.487</v>
      </c>
      <c r="P20" s="17">
        <f t="shared" si="12"/>
        <v>19.7344</v>
      </c>
      <c r="Q20" s="17">
        <f t="shared" si="12"/>
        <v>18.18128</v>
      </c>
      <c r="R20" s="17">
        <f t="shared" si="12"/>
        <v>18.017536</v>
      </c>
      <c r="S20" s="17">
        <f t="shared" si="12"/>
        <v>18.1610432</v>
      </c>
    </row>
    <row r="21">
      <c r="A21" s="12" t="s">
        <v>66</v>
      </c>
      <c r="B21" s="13"/>
      <c r="C21" s="13"/>
      <c r="D21" s="13"/>
      <c r="E21" s="13"/>
      <c r="F21" s="14">
        <f>912.75</f>
        <v>912.75</v>
      </c>
      <c r="G21" s="17">
        <f t="shared" ref="G21:S21" si="13">average(B21:F21)</f>
        <v>912.75</v>
      </c>
      <c r="H21" s="17">
        <f t="shared" si="13"/>
        <v>912.75</v>
      </c>
      <c r="I21" s="17">
        <f t="shared" si="13"/>
        <v>912.75</v>
      </c>
      <c r="J21" s="17">
        <f t="shared" si="13"/>
        <v>912.75</v>
      </c>
      <c r="K21" s="17">
        <f t="shared" si="13"/>
        <v>912.75</v>
      </c>
      <c r="L21" s="17">
        <f t="shared" si="13"/>
        <v>912.75</v>
      </c>
      <c r="M21" s="17">
        <f t="shared" si="13"/>
        <v>912.75</v>
      </c>
      <c r="N21" s="17">
        <f t="shared" si="13"/>
        <v>912.75</v>
      </c>
      <c r="O21" s="17">
        <f t="shared" si="13"/>
        <v>912.75</v>
      </c>
      <c r="P21" s="17">
        <f t="shared" si="13"/>
        <v>912.75</v>
      </c>
      <c r="Q21" s="17">
        <f t="shared" si="13"/>
        <v>912.75</v>
      </c>
      <c r="R21" s="17">
        <f t="shared" si="13"/>
        <v>912.75</v>
      </c>
      <c r="S21" s="17">
        <f t="shared" si="13"/>
        <v>912.75</v>
      </c>
    </row>
    <row r="22">
      <c r="A22" s="12" t="s">
        <v>67</v>
      </c>
      <c r="B22" s="13"/>
      <c r="C22" s="13"/>
      <c r="D22" s="13"/>
      <c r="E22" s="13"/>
      <c r="F22" s="14">
        <f>503.55</f>
        <v>503.55</v>
      </c>
      <c r="G22" s="17">
        <f t="shared" ref="G22:S22" si="14">average(B22:F22)</f>
        <v>503.55</v>
      </c>
      <c r="H22" s="17">
        <f t="shared" si="14"/>
        <v>503.55</v>
      </c>
      <c r="I22" s="17">
        <f t="shared" si="14"/>
        <v>503.55</v>
      </c>
      <c r="J22" s="17">
        <f t="shared" si="14"/>
        <v>503.55</v>
      </c>
      <c r="K22" s="17">
        <f t="shared" si="14"/>
        <v>503.55</v>
      </c>
      <c r="L22" s="17">
        <f t="shared" si="14"/>
        <v>503.55</v>
      </c>
      <c r="M22" s="17">
        <f t="shared" si="14"/>
        <v>503.55</v>
      </c>
      <c r="N22" s="17">
        <f t="shared" si="14"/>
        <v>503.55</v>
      </c>
      <c r="O22" s="17">
        <f t="shared" si="14"/>
        <v>503.55</v>
      </c>
      <c r="P22" s="17">
        <f t="shared" si="14"/>
        <v>503.55</v>
      </c>
      <c r="Q22" s="17">
        <f t="shared" si="14"/>
        <v>503.55</v>
      </c>
      <c r="R22" s="17">
        <f t="shared" si="14"/>
        <v>503.55</v>
      </c>
      <c r="S22" s="17">
        <f t="shared" si="14"/>
        <v>503.55</v>
      </c>
    </row>
    <row r="23">
      <c r="A23" s="12" t="s">
        <v>68</v>
      </c>
      <c r="B23" s="16">
        <f t="shared" ref="B23:S23" si="15">(((((B7)+(B8))+(B19))+(B20))+(B21))+(B22)</f>
        <v>391.25</v>
      </c>
      <c r="C23" s="16">
        <f t="shared" si="15"/>
        <v>365</v>
      </c>
      <c r="D23" s="16">
        <f t="shared" si="15"/>
        <v>1018</v>
      </c>
      <c r="E23" s="16">
        <f t="shared" si="15"/>
        <v>1510.64</v>
      </c>
      <c r="F23" s="16">
        <f t="shared" si="15"/>
        <v>6915.88</v>
      </c>
      <c r="G23" s="16">
        <f t="shared" si="15"/>
        <v>4439.415</v>
      </c>
      <c r="H23" s="16">
        <f t="shared" si="15"/>
        <v>4667.47</v>
      </c>
      <c r="I23" s="16">
        <f t="shared" si="15"/>
        <v>4770.115</v>
      </c>
      <c r="J23" s="16">
        <f t="shared" si="15"/>
        <v>4787.914</v>
      </c>
      <c r="K23" s="16">
        <f t="shared" si="15"/>
        <v>5116.1588</v>
      </c>
      <c r="L23" s="16">
        <f t="shared" si="15"/>
        <v>4756.21456</v>
      </c>
      <c r="M23" s="16">
        <f t="shared" si="15"/>
        <v>4819.574472</v>
      </c>
      <c r="N23" s="16">
        <f t="shared" si="15"/>
        <v>4849.995366</v>
      </c>
      <c r="O23" s="16">
        <f t="shared" si="15"/>
        <v>4865.97144</v>
      </c>
      <c r="P23" s="16">
        <f t="shared" si="15"/>
        <v>4881.582928</v>
      </c>
      <c r="Q23" s="16">
        <f t="shared" si="15"/>
        <v>4834.667753</v>
      </c>
      <c r="R23" s="16">
        <f t="shared" si="15"/>
        <v>4850.358392</v>
      </c>
      <c r="S23" s="16">
        <f t="shared" si="15"/>
        <v>4856.515176</v>
      </c>
    </row>
    <row r="24">
      <c r="A24" s="12" t="s">
        <v>69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>
      <c r="A25" s="12" t="s">
        <v>70</v>
      </c>
      <c r="B25" s="13"/>
      <c r="C25" s="13"/>
      <c r="D25" s="13"/>
      <c r="E25" s="13"/>
      <c r="F25" s="14">
        <f>405</f>
        <v>405</v>
      </c>
      <c r="G25" s="17">
        <f t="shared" ref="G25:S25" si="16">average(B25:F25)</f>
        <v>405</v>
      </c>
      <c r="H25" s="17">
        <f t="shared" si="16"/>
        <v>405</v>
      </c>
      <c r="I25" s="17">
        <f t="shared" si="16"/>
        <v>405</v>
      </c>
      <c r="J25" s="17">
        <f t="shared" si="16"/>
        <v>405</v>
      </c>
      <c r="K25" s="17">
        <f t="shared" si="16"/>
        <v>405</v>
      </c>
      <c r="L25" s="17">
        <f t="shared" si="16"/>
        <v>405</v>
      </c>
      <c r="M25" s="17">
        <f t="shared" si="16"/>
        <v>405</v>
      </c>
      <c r="N25" s="17">
        <f t="shared" si="16"/>
        <v>405</v>
      </c>
      <c r="O25" s="17">
        <f t="shared" si="16"/>
        <v>405</v>
      </c>
      <c r="P25" s="17">
        <f t="shared" si="16"/>
        <v>405</v>
      </c>
      <c r="Q25" s="17">
        <f t="shared" si="16"/>
        <v>405</v>
      </c>
      <c r="R25" s="17">
        <f t="shared" si="16"/>
        <v>405</v>
      </c>
      <c r="S25" s="17">
        <f t="shared" si="16"/>
        <v>405</v>
      </c>
    </row>
    <row r="26">
      <c r="A26" s="12" t="s">
        <v>71</v>
      </c>
      <c r="B26" s="16" t="str">
        <f t="shared" ref="B26:S26" si="17">B25</f>
        <v/>
      </c>
      <c r="C26" s="16" t="str">
        <f t="shared" si="17"/>
        <v/>
      </c>
      <c r="D26" s="16" t="str">
        <f t="shared" si="17"/>
        <v/>
      </c>
      <c r="E26" s="16" t="str">
        <f t="shared" si="17"/>
        <v/>
      </c>
      <c r="F26" s="16">
        <f t="shared" si="17"/>
        <v>405</v>
      </c>
      <c r="G26" s="16">
        <f t="shared" si="17"/>
        <v>405</v>
      </c>
      <c r="H26" s="16">
        <f t="shared" si="17"/>
        <v>405</v>
      </c>
      <c r="I26" s="16">
        <f t="shared" si="17"/>
        <v>405</v>
      </c>
      <c r="J26" s="16">
        <f t="shared" si="17"/>
        <v>405</v>
      </c>
      <c r="K26" s="16">
        <f t="shared" si="17"/>
        <v>405</v>
      </c>
      <c r="L26" s="16">
        <f t="shared" si="17"/>
        <v>405</v>
      </c>
      <c r="M26" s="16">
        <f t="shared" si="17"/>
        <v>405</v>
      </c>
      <c r="N26" s="16">
        <f t="shared" si="17"/>
        <v>405</v>
      </c>
      <c r="O26" s="16">
        <f t="shared" si="17"/>
        <v>405</v>
      </c>
      <c r="P26" s="16">
        <f t="shared" si="17"/>
        <v>405</v>
      </c>
      <c r="Q26" s="16">
        <f t="shared" si="17"/>
        <v>405</v>
      </c>
      <c r="R26" s="16">
        <f t="shared" si="17"/>
        <v>405</v>
      </c>
      <c r="S26" s="16">
        <f t="shared" si="17"/>
        <v>405</v>
      </c>
    </row>
    <row r="27">
      <c r="A27" s="12" t="s">
        <v>72</v>
      </c>
      <c r="B27" s="16">
        <f t="shared" ref="B27:S27" si="18">(B23)-(B26)</f>
        <v>391.25</v>
      </c>
      <c r="C27" s="16">
        <f t="shared" si="18"/>
        <v>365</v>
      </c>
      <c r="D27" s="16">
        <f t="shared" si="18"/>
        <v>1018</v>
      </c>
      <c r="E27" s="16">
        <f t="shared" si="18"/>
        <v>1510.64</v>
      </c>
      <c r="F27" s="16">
        <f t="shared" si="18"/>
        <v>6510.88</v>
      </c>
      <c r="G27" s="16">
        <f t="shared" si="18"/>
        <v>4034.415</v>
      </c>
      <c r="H27" s="16">
        <f t="shared" si="18"/>
        <v>4262.47</v>
      </c>
      <c r="I27" s="16">
        <f t="shared" si="18"/>
        <v>4365.115</v>
      </c>
      <c r="J27" s="16">
        <f t="shared" si="18"/>
        <v>4382.914</v>
      </c>
      <c r="K27" s="16">
        <f t="shared" si="18"/>
        <v>4711.1588</v>
      </c>
      <c r="L27" s="16">
        <f t="shared" si="18"/>
        <v>4351.21456</v>
      </c>
      <c r="M27" s="16">
        <f t="shared" si="18"/>
        <v>4414.574472</v>
      </c>
      <c r="N27" s="16">
        <f t="shared" si="18"/>
        <v>4444.995366</v>
      </c>
      <c r="O27" s="16">
        <f t="shared" si="18"/>
        <v>4460.97144</v>
      </c>
      <c r="P27" s="16">
        <f t="shared" si="18"/>
        <v>4476.582928</v>
      </c>
      <c r="Q27" s="16">
        <f t="shared" si="18"/>
        <v>4429.667753</v>
      </c>
      <c r="R27" s="16">
        <f t="shared" si="18"/>
        <v>4445.358392</v>
      </c>
      <c r="S27" s="16">
        <f t="shared" si="18"/>
        <v>4451.515176</v>
      </c>
    </row>
    <row r="28">
      <c r="A28" s="12" t="s">
        <v>73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>
      <c r="A29" s="12" t="s">
        <v>74</v>
      </c>
      <c r="B29" s="13"/>
      <c r="C29" s="13"/>
      <c r="D29" s="13"/>
      <c r="E29" s="13"/>
      <c r="F29" s="14">
        <f>74.86</f>
        <v>74.86</v>
      </c>
      <c r="G29" s="17">
        <f t="shared" ref="G29:S29" si="19">average(B29:F29)</f>
        <v>74.86</v>
      </c>
      <c r="H29" s="17">
        <f t="shared" si="19"/>
        <v>74.86</v>
      </c>
      <c r="I29" s="17">
        <f t="shared" si="19"/>
        <v>74.86</v>
      </c>
      <c r="J29" s="17">
        <f t="shared" si="19"/>
        <v>74.86</v>
      </c>
      <c r="K29" s="17">
        <f t="shared" si="19"/>
        <v>74.86</v>
      </c>
      <c r="L29" s="17">
        <f t="shared" si="19"/>
        <v>74.86</v>
      </c>
      <c r="M29" s="17">
        <f t="shared" si="19"/>
        <v>74.86</v>
      </c>
      <c r="N29" s="17">
        <f t="shared" si="19"/>
        <v>74.86</v>
      </c>
      <c r="O29" s="17">
        <f t="shared" si="19"/>
        <v>74.86</v>
      </c>
      <c r="P29" s="17">
        <f t="shared" si="19"/>
        <v>74.86</v>
      </c>
      <c r="Q29" s="17">
        <f t="shared" si="19"/>
        <v>74.86</v>
      </c>
      <c r="R29" s="17">
        <f t="shared" si="19"/>
        <v>74.86</v>
      </c>
      <c r="S29" s="17">
        <f t="shared" si="19"/>
        <v>74.86</v>
      </c>
    </row>
    <row r="30">
      <c r="A30" s="12" t="s">
        <v>75</v>
      </c>
      <c r="B30" s="13"/>
      <c r="C30" s="13"/>
      <c r="D30" s="13"/>
      <c r="E30" s="13"/>
      <c r="F30" s="14">
        <f>79.96</f>
        <v>79.96</v>
      </c>
      <c r="G30" s="17">
        <f t="shared" ref="G30:S30" si="20">average(B30:F30)</f>
        <v>79.96</v>
      </c>
      <c r="H30" s="17">
        <f t="shared" si="20"/>
        <v>79.96</v>
      </c>
      <c r="I30" s="17">
        <f t="shared" si="20"/>
        <v>79.96</v>
      </c>
      <c r="J30" s="17">
        <f t="shared" si="20"/>
        <v>79.96</v>
      </c>
      <c r="K30" s="17">
        <f t="shared" si="20"/>
        <v>79.96</v>
      </c>
      <c r="L30" s="17">
        <f t="shared" si="20"/>
        <v>79.96</v>
      </c>
      <c r="M30" s="17">
        <f t="shared" si="20"/>
        <v>79.96</v>
      </c>
      <c r="N30" s="17">
        <f t="shared" si="20"/>
        <v>79.96</v>
      </c>
      <c r="O30" s="17">
        <f t="shared" si="20"/>
        <v>79.96</v>
      </c>
      <c r="P30" s="17">
        <f t="shared" si="20"/>
        <v>79.96</v>
      </c>
      <c r="Q30" s="17">
        <f t="shared" si="20"/>
        <v>79.96</v>
      </c>
      <c r="R30" s="17">
        <f t="shared" si="20"/>
        <v>79.96</v>
      </c>
      <c r="S30" s="17">
        <f t="shared" si="20"/>
        <v>79.96</v>
      </c>
    </row>
    <row r="31">
      <c r="A31" s="12" t="s">
        <v>76</v>
      </c>
      <c r="B31" s="13"/>
      <c r="C31" s="13"/>
      <c r="D31" s="14">
        <f>54.55</f>
        <v>54.55</v>
      </c>
      <c r="E31" s="14">
        <f>127.01</f>
        <v>127.01</v>
      </c>
      <c r="F31" s="14">
        <f>167.85</f>
        <v>167.85</v>
      </c>
      <c r="G31" s="17">
        <f t="shared" ref="G31:S31" si="21">average(B31:F31)</f>
        <v>116.47</v>
      </c>
      <c r="H31" s="17">
        <f t="shared" si="21"/>
        <v>116.47</v>
      </c>
      <c r="I31" s="17">
        <f t="shared" si="21"/>
        <v>116.47</v>
      </c>
      <c r="J31" s="17">
        <f t="shared" si="21"/>
        <v>128.854</v>
      </c>
      <c r="K31" s="17">
        <f t="shared" si="21"/>
        <v>129.2228</v>
      </c>
      <c r="L31" s="17">
        <f t="shared" si="21"/>
        <v>121.49736</v>
      </c>
      <c r="M31" s="17">
        <f t="shared" si="21"/>
        <v>122.502832</v>
      </c>
      <c r="N31" s="17">
        <f t="shared" si="21"/>
        <v>123.7093984</v>
      </c>
      <c r="O31" s="17">
        <f t="shared" si="21"/>
        <v>125.1572781</v>
      </c>
      <c r="P31" s="17">
        <f t="shared" si="21"/>
        <v>124.4179337</v>
      </c>
      <c r="Q31" s="17">
        <f t="shared" si="21"/>
        <v>123.4569604</v>
      </c>
      <c r="R31" s="17">
        <f t="shared" si="21"/>
        <v>123.8488805</v>
      </c>
      <c r="S31" s="17">
        <f t="shared" si="21"/>
        <v>124.1180902</v>
      </c>
    </row>
    <row r="32">
      <c r="A32" s="12" t="s">
        <v>77</v>
      </c>
      <c r="B32" s="16">
        <f t="shared" ref="B32:S32" si="22">(B30)+(B31)</f>
        <v>0</v>
      </c>
      <c r="C32" s="16">
        <f t="shared" si="22"/>
        <v>0</v>
      </c>
      <c r="D32" s="16">
        <f t="shared" si="22"/>
        <v>54.55</v>
      </c>
      <c r="E32" s="16">
        <f t="shared" si="22"/>
        <v>127.01</v>
      </c>
      <c r="F32" s="16">
        <f t="shared" si="22"/>
        <v>247.81</v>
      </c>
      <c r="G32" s="16">
        <f t="shared" si="22"/>
        <v>196.43</v>
      </c>
      <c r="H32" s="16">
        <f t="shared" si="22"/>
        <v>196.43</v>
      </c>
      <c r="I32" s="16">
        <f t="shared" si="22"/>
        <v>196.43</v>
      </c>
      <c r="J32" s="16">
        <f t="shared" si="22"/>
        <v>208.814</v>
      </c>
      <c r="K32" s="16">
        <f t="shared" si="22"/>
        <v>209.1828</v>
      </c>
      <c r="L32" s="16">
        <f t="shared" si="22"/>
        <v>201.45736</v>
      </c>
      <c r="M32" s="16">
        <f t="shared" si="22"/>
        <v>202.462832</v>
      </c>
      <c r="N32" s="16">
        <f t="shared" si="22"/>
        <v>203.6693984</v>
      </c>
      <c r="O32" s="16">
        <f t="shared" si="22"/>
        <v>205.1172781</v>
      </c>
      <c r="P32" s="16">
        <f t="shared" si="22"/>
        <v>204.3779337</v>
      </c>
      <c r="Q32" s="16">
        <f t="shared" si="22"/>
        <v>203.4169604</v>
      </c>
      <c r="R32" s="16">
        <f t="shared" si="22"/>
        <v>203.8088805</v>
      </c>
      <c r="S32" s="16">
        <f t="shared" si="22"/>
        <v>204.0780902</v>
      </c>
    </row>
    <row r="33">
      <c r="A33" s="12" t="s">
        <v>78</v>
      </c>
      <c r="B33" s="13"/>
      <c r="C33" s="13"/>
      <c r="D33" s="13"/>
      <c r="E33" s="13"/>
      <c r="F33" s="14">
        <f>112</f>
        <v>112</v>
      </c>
      <c r="G33" s="17">
        <f t="shared" ref="G33:S33" si="23">average(B33:F33)</f>
        <v>112</v>
      </c>
      <c r="H33" s="17">
        <f t="shared" si="23"/>
        <v>112</v>
      </c>
      <c r="I33" s="17">
        <f t="shared" si="23"/>
        <v>112</v>
      </c>
      <c r="J33" s="17">
        <f t="shared" si="23"/>
        <v>112</v>
      </c>
      <c r="K33" s="17">
        <f t="shared" si="23"/>
        <v>112</v>
      </c>
      <c r="L33" s="17">
        <f t="shared" si="23"/>
        <v>112</v>
      </c>
      <c r="M33" s="17">
        <f t="shared" si="23"/>
        <v>112</v>
      </c>
      <c r="N33" s="17">
        <f t="shared" si="23"/>
        <v>112</v>
      </c>
      <c r="O33" s="17">
        <f t="shared" si="23"/>
        <v>112</v>
      </c>
      <c r="P33" s="17">
        <f t="shared" si="23"/>
        <v>112</v>
      </c>
      <c r="Q33" s="17">
        <f t="shared" si="23"/>
        <v>112</v>
      </c>
      <c r="R33" s="17">
        <f t="shared" si="23"/>
        <v>112</v>
      </c>
      <c r="S33" s="17">
        <f t="shared" si="23"/>
        <v>112</v>
      </c>
    </row>
    <row r="34">
      <c r="A34" s="12" t="s">
        <v>79</v>
      </c>
      <c r="B34" s="13"/>
      <c r="C34" s="13"/>
      <c r="D34" s="13"/>
      <c r="E34" s="13"/>
      <c r="F34" s="14">
        <f>241.23</f>
        <v>241.23</v>
      </c>
      <c r="G34" s="17">
        <f t="shared" ref="G34:S34" si="24">average(B34:F34)</f>
        <v>241.23</v>
      </c>
      <c r="H34" s="17">
        <f t="shared" si="24"/>
        <v>241.23</v>
      </c>
      <c r="I34" s="17">
        <f t="shared" si="24"/>
        <v>241.23</v>
      </c>
      <c r="J34" s="17">
        <f t="shared" si="24"/>
        <v>241.23</v>
      </c>
      <c r="K34" s="17">
        <f t="shared" si="24"/>
        <v>241.23</v>
      </c>
      <c r="L34" s="17">
        <f t="shared" si="24"/>
        <v>241.23</v>
      </c>
      <c r="M34" s="17">
        <f t="shared" si="24"/>
        <v>241.23</v>
      </c>
      <c r="N34" s="17">
        <f t="shared" si="24"/>
        <v>241.23</v>
      </c>
      <c r="O34" s="17">
        <f t="shared" si="24"/>
        <v>241.23</v>
      </c>
      <c r="P34" s="17">
        <f t="shared" si="24"/>
        <v>241.23</v>
      </c>
      <c r="Q34" s="17">
        <f t="shared" si="24"/>
        <v>241.23</v>
      </c>
      <c r="R34" s="17">
        <f t="shared" si="24"/>
        <v>241.23</v>
      </c>
      <c r="S34" s="17">
        <f t="shared" si="24"/>
        <v>241.23</v>
      </c>
    </row>
    <row r="35">
      <c r="A35" s="12" t="s">
        <v>80</v>
      </c>
      <c r="B35" s="13"/>
      <c r="C35" s="13"/>
      <c r="D35" s="13"/>
      <c r="E35" s="14">
        <f>108.09</f>
        <v>108.09</v>
      </c>
      <c r="F35" s="14">
        <f>46.98</f>
        <v>46.98</v>
      </c>
      <c r="G35" s="17">
        <f t="shared" ref="G35:S35" si="25">average(B35:F35)</f>
        <v>77.535</v>
      </c>
      <c r="H35" s="17">
        <f t="shared" si="25"/>
        <v>77.535</v>
      </c>
      <c r="I35" s="17">
        <f t="shared" si="25"/>
        <v>77.535</v>
      </c>
      <c r="J35" s="17">
        <f t="shared" si="25"/>
        <v>77.535</v>
      </c>
      <c r="K35" s="17">
        <f t="shared" si="25"/>
        <v>71.424</v>
      </c>
      <c r="L35" s="17">
        <f t="shared" si="25"/>
        <v>76.3128</v>
      </c>
      <c r="M35" s="17">
        <f t="shared" si="25"/>
        <v>76.06836</v>
      </c>
      <c r="N35" s="17">
        <f t="shared" si="25"/>
        <v>75.775032</v>
      </c>
      <c r="O35" s="17">
        <f t="shared" si="25"/>
        <v>75.4230384</v>
      </c>
      <c r="P35" s="17">
        <f t="shared" si="25"/>
        <v>75.00064608</v>
      </c>
      <c r="Q35" s="17">
        <f t="shared" si="25"/>
        <v>75.7159753</v>
      </c>
      <c r="R35" s="17">
        <f t="shared" si="25"/>
        <v>75.59661036</v>
      </c>
      <c r="S35" s="17">
        <f t="shared" si="25"/>
        <v>75.50226043</v>
      </c>
    </row>
    <row r="36">
      <c r="A36" s="12" t="s">
        <v>55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>
      <c r="A37" s="12" t="s">
        <v>81</v>
      </c>
      <c r="B37" s="13"/>
      <c r="C37" s="13"/>
      <c r="D37" s="13"/>
      <c r="E37" s="13"/>
      <c r="F37" s="14">
        <f>234.04</f>
        <v>234.04</v>
      </c>
      <c r="G37" s="17">
        <f t="shared" ref="G37:S37" si="26">average(B37:F37)</f>
        <v>234.04</v>
      </c>
      <c r="H37" s="17">
        <f t="shared" si="26"/>
        <v>234.04</v>
      </c>
      <c r="I37" s="17">
        <f t="shared" si="26"/>
        <v>234.04</v>
      </c>
      <c r="J37" s="17">
        <f t="shared" si="26"/>
        <v>234.04</v>
      </c>
      <c r="K37" s="17">
        <f t="shared" si="26"/>
        <v>234.04</v>
      </c>
      <c r="L37" s="17">
        <f t="shared" si="26"/>
        <v>234.04</v>
      </c>
      <c r="M37" s="17">
        <f t="shared" si="26"/>
        <v>234.04</v>
      </c>
      <c r="N37" s="17">
        <f t="shared" si="26"/>
        <v>234.04</v>
      </c>
      <c r="O37" s="17">
        <f t="shared" si="26"/>
        <v>234.04</v>
      </c>
      <c r="P37" s="17">
        <f t="shared" si="26"/>
        <v>234.04</v>
      </c>
      <c r="Q37" s="17">
        <f t="shared" si="26"/>
        <v>234.04</v>
      </c>
      <c r="R37" s="17">
        <f t="shared" si="26"/>
        <v>234.04</v>
      </c>
      <c r="S37" s="17">
        <f t="shared" si="26"/>
        <v>234.04</v>
      </c>
    </row>
    <row r="38">
      <c r="A38" s="12" t="s">
        <v>57</v>
      </c>
      <c r="B38" s="13"/>
      <c r="C38" s="13"/>
      <c r="D38" s="14">
        <f>158.08</f>
        <v>158.08</v>
      </c>
      <c r="E38" s="14">
        <f>89.09</f>
        <v>89.09</v>
      </c>
      <c r="F38" s="14">
        <f>105.95</f>
        <v>105.95</v>
      </c>
      <c r="G38" s="17">
        <f t="shared" ref="G38:S38" si="27">average(B38:F38)</f>
        <v>117.7066667</v>
      </c>
      <c r="H38" s="17">
        <f t="shared" si="27"/>
        <v>117.7066667</v>
      </c>
      <c r="I38" s="17">
        <f t="shared" si="27"/>
        <v>117.7066667</v>
      </c>
      <c r="J38" s="17">
        <f t="shared" si="27"/>
        <v>109.632</v>
      </c>
      <c r="K38" s="17">
        <f t="shared" si="27"/>
        <v>113.7404</v>
      </c>
      <c r="L38" s="17">
        <f t="shared" si="27"/>
        <v>115.29848</v>
      </c>
      <c r="M38" s="17">
        <f t="shared" si="27"/>
        <v>114.8168427</v>
      </c>
      <c r="N38" s="17">
        <f t="shared" si="27"/>
        <v>114.2388779</v>
      </c>
      <c r="O38" s="17">
        <f t="shared" si="27"/>
        <v>113.5453201</v>
      </c>
      <c r="P38" s="17">
        <f t="shared" si="27"/>
        <v>114.3279841</v>
      </c>
      <c r="Q38" s="17">
        <f t="shared" si="27"/>
        <v>114.445501</v>
      </c>
      <c r="R38" s="17">
        <f t="shared" si="27"/>
        <v>114.2749051</v>
      </c>
      <c r="S38" s="17">
        <f t="shared" si="27"/>
        <v>114.1665176</v>
      </c>
    </row>
    <row r="39">
      <c r="A39" s="12" t="s">
        <v>58</v>
      </c>
      <c r="B39" s="13"/>
      <c r="C39" s="13"/>
      <c r="D39" s="13"/>
      <c r="E39" s="13"/>
      <c r="F39" s="14">
        <f>215.66</f>
        <v>215.66</v>
      </c>
      <c r="G39" s="17">
        <f t="shared" ref="G39:S39" si="28">average(B39:F39)</f>
        <v>215.66</v>
      </c>
      <c r="H39" s="17">
        <f t="shared" si="28"/>
        <v>215.66</v>
      </c>
      <c r="I39" s="17">
        <f t="shared" si="28"/>
        <v>215.66</v>
      </c>
      <c r="J39" s="17">
        <f t="shared" si="28"/>
        <v>215.66</v>
      </c>
      <c r="K39" s="17">
        <f t="shared" si="28"/>
        <v>215.66</v>
      </c>
      <c r="L39" s="17">
        <f t="shared" si="28"/>
        <v>215.66</v>
      </c>
      <c r="M39" s="17">
        <f t="shared" si="28"/>
        <v>215.66</v>
      </c>
      <c r="N39" s="17">
        <f t="shared" si="28"/>
        <v>215.66</v>
      </c>
      <c r="O39" s="17">
        <f t="shared" si="28"/>
        <v>215.66</v>
      </c>
      <c r="P39" s="17">
        <f t="shared" si="28"/>
        <v>215.66</v>
      </c>
      <c r="Q39" s="17">
        <f t="shared" si="28"/>
        <v>215.66</v>
      </c>
      <c r="R39" s="17">
        <f t="shared" si="28"/>
        <v>215.66</v>
      </c>
      <c r="S39" s="17">
        <f t="shared" si="28"/>
        <v>215.66</v>
      </c>
    </row>
    <row r="40">
      <c r="A40" s="12" t="s">
        <v>59</v>
      </c>
      <c r="B40" s="16">
        <f t="shared" ref="B40:S40" si="29">(((B36)+(B37))+(B38))+(B39)</f>
        <v>0</v>
      </c>
      <c r="C40" s="16">
        <f t="shared" si="29"/>
        <v>0</v>
      </c>
      <c r="D40" s="16">
        <f t="shared" si="29"/>
        <v>158.08</v>
      </c>
      <c r="E40" s="16">
        <f t="shared" si="29"/>
        <v>89.09</v>
      </c>
      <c r="F40" s="16">
        <f t="shared" si="29"/>
        <v>555.65</v>
      </c>
      <c r="G40" s="16">
        <f t="shared" si="29"/>
        <v>567.4066667</v>
      </c>
      <c r="H40" s="16">
        <f t="shared" si="29"/>
        <v>567.4066667</v>
      </c>
      <c r="I40" s="16">
        <f t="shared" si="29"/>
        <v>567.4066667</v>
      </c>
      <c r="J40" s="16">
        <f t="shared" si="29"/>
        <v>559.332</v>
      </c>
      <c r="K40" s="16">
        <f t="shared" si="29"/>
        <v>563.4404</v>
      </c>
      <c r="L40" s="16">
        <f t="shared" si="29"/>
        <v>564.99848</v>
      </c>
      <c r="M40" s="16">
        <f t="shared" si="29"/>
        <v>564.5168427</v>
      </c>
      <c r="N40" s="16">
        <f t="shared" si="29"/>
        <v>563.9388779</v>
      </c>
      <c r="O40" s="16">
        <f t="shared" si="29"/>
        <v>563.2453201</v>
      </c>
      <c r="P40" s="16">
        <f t="shared" si="29"/>
        <v>564.0279841</v>
      </c>
      <c r="Q40" s="16">
        <f t="shared" si="29"/>
        <v>564.145501</v>
      </c>
      <c r="R40" s="16">
        <f t="shared" si="29"/>
        <v>563.9749051</v>
      </c>
      <c r="S40" s="16">
        <f t="shared" si="29"/>
        <v>563.8665176</v>
      </c>
    </row>
    <row r="41">
      <c r="A41" s="12" t="s">
        <v>82</v>
      </c>
      <c r="B41" s="16">
        <f t="shared" ref="B41:S41" si="30">(B35)+(B40)</f>
        <v>0</v>
      </c>
      <c r="C41" s="16">
        <f t="shared" si="30"/>
        <v>0</v>
      </c>
      <c r="D41" s="16">
        <f t="shared" si="30"/>
        <v>158.08</v>
      </c>
      <c r="E41" s="16">
        <f t="shared" si="30"/>
        <v>197.18</v>
      </c>
      <c r="F41" s="16">
        <f t="shared" si="30"/>
        <v>602.63</v>
      </c>
      <c r="G41" s="16">
        <f t="shared" si="30"/>
        <v>644.9416667</v>
      </c>
      <c r="H41" s="16">
        <f t="shared" si="30"/>
        <v>644.9416667</v>
      </c>
      <c r="I41" s="16">
        <f t="shared" si="30"/>
        <v>644.9416667</v>
      </c>
      <c r="J41" s="16">
        <f t="shared" si="30"/>
        <v>636.867</v>
      </c>
      <c r="K41" s="16">
        <f t="shared" si="30"/>
        <v>634.8644</v>
      </c>
      <c r="L41" s="16">
        <f t="shared" si="30"/>
        <v>641.31128</v>
      </c>
      <c r="M41" s="16">
        <f t="shared" si="30"/>
        <v>640.5852027</v>
      </c>
      <c r="N41" s="16">
        <f t="shared" si="30"/>
        <v>639.7139099</v>
      </c>
      <c r="O41" s="16">
        <f t="shared" si="30"/>
        <v>638.6683585</v>
      </c>
      <c r="P41" s="16">
        <f t="shared" si="30"/>
        <v>639.0286302</v>
      </c>
      <c r="Q41" s="16">
        <f t="shared" si="30"/>
        <v>639.8614762</v>
      </c>
      <c r="R41" s="16">
        <f t="shared" si="30"/>
        <v>639.5715155</v>
      </c>
      <c r="S41" s="16">
        <f t="shared" si="30"/>
        <v>639.3687781</v>
      </c>
    </row>
    <row r="42">
      <c r="A42" s="12" t="s">
        <v>83</v>
      </c>
      <c r="B42" s="13"/>
      <c r="C42" s="13"/>
      <c r="D42" s="13"/>
      <c r="E42" s="13"/>
      <c r="F42" s="14">
        <f>75</f>
        <v>75</v>
      </c>
      <c r="G42" s="17">
        <v>0.0</v>
      </c>
      <c r="H42" s="14">
        <f t="shared" ref="H42:S42" si="31">G42</f>
        <v>0</v>
      </c>
      <c r="I42" s="14">
        <f t="shared" si="31"/>
        <v>0</v>
      </c>
      <c r="J42" s="14">
        <f t="shared" si="31"/>
        <v>0</v>
      </c>
      <c r="K42" s="14">
        <f t="shared" si="31"/>
        <v>0</v>
      </c>
      <c r="L42" s="14">
        <f t="shared" si="31"/>
        <v>0</v>
      </c>
      <c r="M42" s="14">
        <f t="shared" si="31"/>
        <v>0</v>
      </c>
      <c r="N42" s="14">
        <f t="shared" si="31"/>
        <v>0</v>
      </c>
      <c r="O42" s="14">
        <f t="shared" si="31"/>
        <v>0</v>
      </c>
      <c r="P42" s="14">
        <f t="shared" si="31"/>
        <v>0</v>
      </c>
      <c r="Q42" s="14">
        <f t="shared" si="31"/>
        <v>0</v>
      </c>
      <c r="R42" s="14">
        <f t="shared" si="31"/>
        <v>0</v>
      </c>
      <c r="S42" s="14">
        <f t="shared" si="31"/>
        <v>0</v>
      </c>
    </row>
    <row r="43">
      <c r="A43" s="12" t="s">
        <v>84</v>
      </c>
      <c r="B43" s="13"/>
      <c r="C43" s="13"/>
      <c r="D43" s="14">
        <f>250</f>
        <v>250</v>
      </c>
      <c r="E43" s="13"/>
      <c r="F43" s="14">
        <f>390</f>
        <v>390</v>
      </c>
      <c r="G43" s="17">
        <v>0.0</v>
      </c>
      <c r="H43" s="14">
        <f t="shared" ref="H43:S43" si="32">G43</f>
        <v>0</v>
      </c>
      <c r="I43" s="14">
        <f t="shared" si="32"/>
        <v>0</v>
      </c>
      <c r="J43" s="14">
        <f t="shared" si="32"/>
        <v>0</v>
      </c>
      <c r="K43" s="14">
        <f t="shared" si="32"/>
        <v>0</v>
      </c>
      <c r="L43" s="14">
        <f t="shared" si="32"/>
        <v>0</v>
      </c>
      <c r="M43" s="14">
        <f t="shared" si="32"/>
        <v>0</v>
      </c>
      <c r="N43" s="14">
        <f t="shared" si="32"/>
        <v>0</v>
      </c>
      <c r="O43" s="14">
        <f t="shared" si="32"/>
        <v>0</v>
      </c>
      <c r="P43" s="14">
        <f t="shared" si="32"/>
        <v>0</v>
      </c>
      <c r="Q43" s="14">
        <f t="shared" si="32"/>
        <v>0</v>
      </c>
      <c r="R43" s="14">
        <f t="shared" si="32"/>
        <v>0</v>
      </c>
      <c r="S43" s="14">
        <f t="shared" si="32"/>
        <v>0</v>
      </c>
    </row>
    <row r="44">
      <c r="A44" s="12" t="s">
        <v>85</v>
      </c>
      <c r="B44" s="13"/>
      <c r="C44" s="13"/>
      <c r="D44" s="13"/>
      <c r="E44" s="14">
        <f>55</f>
        <v>55</v>
      </c>
      <c r="F44" s="13"/>
      <c r="G44" s="13">
        <f>'PL - Bookkeeper'!G11</f>
        <v>1000</v>
      </c>
      <c r="H44" s="13">
        <f>'PL - Bookkeeper'!H11</f>
        <v>1000</v>
      </c>
      <c r="I44" s="13">
        <f>'PL - Bookkeeper'!I11</f>
        <v>1000</v>
      </c>
      <c r="J44" s="13">
        <f>'PL - Bookkeeper'!J11</f>
        <v>1000</v>
      </c>
      <c r="K44" s="13">
        <f>'PL - Bookkeeper'!K11</f>
        <v>1000</v>
      </c>
      <c r="L44" s="13">
        <f>'PL - Bookkeeper'!L11</f>
        <v>1500</v>
      </c>
      <c r="M44" s="13">
        <f>'PL - Bookkeeper'!M11</f>
        <v>1500</v>
      </c>
      <c r="N44" s="13">
        <f>'PL - Bookkeeper'!N11</f>
        <v>1000</v>
      </c>
      <c r="O44" s="13">
        <f>'PL - Bookkeeper'!O11</f>
        <v>1000</v>
      </c>
      <c r="P44" s="13">
        <f>'PL - Bookkeeper'!P11</f>
        <v>1000</v>
      </c>
      <c r="Q44" s="13">
        <f>'PL - Bookkeeper'!Q11</f>
        <v>1000</v>
      </c>
      <c r="R44" s="13">
        <f>'PL - Bookkeeper'!R11</f>
        <v>1000</v>
      </c>
      <c r="S44" s="13">
        <f>'PL - Bookkeeper'!S11</f>
        <v>1000</v>
      </c>
      <c r="T44" s="13"/>
      <c r="U44" s="13"/>
      <c r="V44" s="13"/>
      <c r="W44" s="13"/>
      <c r="X44" s="13"/>
      <c r="Y44" s="13"/>
    </row>
    <row r="45">
      <c r="A45" s="12" t="s">
        <v>86</v>
      </c>
      <c r="B45" s="14">
        <f>300</f>
        <v>300</v>
      </c>
      <c r="C45" s="13"/>
      <c r="D45" s="13"/>
      <c r="E45" s="13"/>
      <c r="F45" s="14">
        <f>100</f>
        <v>100</v>
      </c>
      <c r="G45" s="17">
        <v>0.0</v>
      </c>
      <c r="H45" s="14">
        <f t="shared" ref="H45:S45" si="33">G45</f>
        <v>0</v>
      </c>
      <c r="I45" s="14">
        <f t="shared" si="33"/>
        <v>0</v>
      </c>
      <c r="J45" s="14">
        <f t="shared" si="33"/>
        <v>0</v>
      </c>
      <c r="K45" s="14">
        <f t="shared" si="33"/>
        <v>0</v>
      </c>
      <c r="L45" s="14">
        <f t="shared" si="33"/>
        <v>0</v>
      </c>
      <c r="M45" s="14">
        <f t="shared" si="33"/>
        <v>0</v>
      </c>
      <c r="N45" s="14">
        <f t="shared" si="33"/>
        <v>0</v>
      </c>
      <c r="O45" s="14">
        <f t="shared" si="33"/>
        <v>0</v>
      </c>
      <c r="P45" s="14">
        <f t="shared" si="33"/>
        <v>0</v>
      </c>
      <c r="Q45" s="14">
        <f t="shared" si="33"/>
        <v>0</v>
      </c>
      <c r="R45" s="14">
        <f t="shared" si="33"/>
        <v>0</v>
      </c>
      <c r="S45" s="14">
        <f t="shared" si="33"/>
        <v>0</v>
      </c>
    </row>
    <row r="46">
      <c r="A46" s="12" t="s">
        <v>87</v>
      </c>
      <c r="B46" s="16">
        <f t="shared" ref="B46:S46" si="34">(((B42)+(B43))+(B44))+(B45)</f>
        <v>300</v>
      </c>
      <c r="C46" s="16">
        <f t="shared" si="34"/>
        <v>0</v>
      </c>
      <c r="D46" s="16">
        <f t="shared" si="34"/>
        <v>250</v>
      </c>
      <c r="E46" s="16">
        <f t="shared" si="34"/>
        <v>55</v>
      </c>
      <c r="F46" s="16">
        <f t="shared" si="34"/>
        <v>565</v>
      </c>
      <c r="G46" s="16">
        <f t="shared" si="34"/>
        <v>1000</v>
      </c>
      <c r="H46" s="16">
        <f t="shared" si="34"/>
        <v>1000</v>
      </c>
      <c r="I46" s="16">
        <f t="shared" si="34"/>
        <v>1000</v>
      </c>
      <c r="J46" s="16">
        <f t="shared" si="34"/>
        <v>1000</v>
      </c>
      <c r="K46" s="16">
        <f t="shared" si="34"/>
        <v>1000</v>
      </c>
      <c r="L46" s="16">
        <f t="shared" si="34"/>
        <v>1500</v>
      </c>
      <c r="M46" s="16">
        <f t="shared" si="34"/>
        <v>1500</v>
      </c>
      <c r="N46" s="16">
        <f t="shared" si="34"/>
        <v>1000</v>
      </c>
      <c r="O46" s="16">
        <f t="shared" si="34"/>
        <v>1000</v>
      </c>
      <c r="P46" s="16">
        <f t="shared" si="34"/>
        <v>1000</v>
      </c>
      <c r="Q46" s="16">
        <f t="shared" si="34"/>
        <v>1000</v>
      </c>
      <c r="R46" s="16">
        <f t="shared" si="34"/>
        <v>1000</v>
      </c>
      <c r="S46" s="16">
        <f t="shared" si="34"/>
        <v>1000</v>
      </c>
    </row>
    <row r="47">
      <c r="A47" s="12" t="s">
        <v>88</v>
      </c>
      <c r="B47" s="13"/>
      <c r="C47" s="13"/>
      <c r="D47" s="13"/>
      <c r="E47" s="13"/>
      <c r="F47" s="14">
        <f>185</f>
        <v>185</v>
      </c>
      <c r="G47" s="17">
        <v>0.0</v>
      </c>
      <c r="H47" s="14">
        <f t="shared" ref="H47:S47" si="35">G47</f>
        <v>0</v>
      </c>
      <c r="I47" s="14">
        <f t="shared" si="35"/>
        <v>0</v>
      </c>
      <c r="J47" s="14">
        <f t="shared" si="35"/>
        <v>0</v>
      </c>
      <c r="K47" s="14">
        <f t="shared" si="35"/>
        <v>0</v>
      </c>
      <c r="L47" s="14">
        <f t="shared" si="35"/>
        <v>0</v>
      </c>
      <c r="M47" s="14">
        <f t="shared" si="35"/>
        <v>0</v>
      </c>
      <c r="N47" s="14">
        <f t="shared" si="35"/>
        <v>0</v>
      </c>
      <c r="O47" s="14">
        <f t="shared" si="35"/>
        <v>0</v>
      </c>
      <c r="P47" s="14">
        <f t="shared" si="35"/>
        <v>0</v>
      </c>
      <c r="Q47" s="14">
        <f t="shared" si="35"/>
        <v>0</v>
      </c>
      <c r="R47" s="14">
        <f t="shared" si="35"/>
        <v>0</v>
      </c>
      <c r="S47" s="14">
        <f t="shared" si="35"/>
        <v>0</v>
      </c>
    </row>
    <row r="48">
      <c r="A48" s="12" t="s">
        <v>89</v>
      </c>
      <c r="B48" s="13"/>
      <c r="C48" s="13"/>
      <c r="D48" s="13"/>
      <c r="E48" s="13"/>
      <c r="F48" s="14">
        <f>755</f>
        <v>755</v>
      </c>
      <c r="G48" s="17">
        <v>0.0</v>
      </c>
      <c r="H48" s="17">
        <f t="shared" ref="H48:S48" si="36">G48</f>
        <v>0</v>
      </c>
      <c r="I48" s="17">
        <f t="shared" si="36"/>
        <v>0</v>
      </c>
      <c r="J48" s="17">
        <f t="shared" si="36"/>
        <v>0</v>
      </c>
      <c r="K48" s="17">
        <f t="shared" si="36"/>
        <v>0</v>
      </c>
      <c r="L48" s="17">
        <f t="shared" si="36"/>
        <v>0</v>
      </c>
      <c r="M48" s="17">
        <f t="shared" si="36"/>
        <v>0</v>
      </c>
      <c r="N48" s="17">
        <f t="shared" si="36"/>
        <v>0</v>
      </c>
      <c r="O48" s="17">
        <f t="shared" si="36"/>
        <v>0</v>
      </c>
      <c r="P48" s="17">
        <f t="shared" si="36"/>
        <v>0</v>
      </c>
      <c r="Q48" s="17">
        <f t="shared" si="36"/>
        <v>0</v>
      </c>
      <c r="R48" s="17">
        <f t="shared" si="36"/>
        <v>0</v>
      </c>
      <c r="S48" s="17">
        <f t="shared" si="36"/>
        <v>0</v>
      </c>
    </row>
    <row r="49">
      <c r="A49" s="12" t="s">
        <v>90</v>
      </c>
      <c r="B49" s="16">
        <f t="shared" ref="B49:S49" si="37">(B47)+(B48)</f>
        <v>0</v>
      </c>
      <c r="C49" s="16">
        <f t="shared" si="37"/>
        <v>0</v>
      </c>
      <c r="D49" s="16">
        <f t="shared" si="37"/>
        <v>0</v>
      </c>
      <c r="E49" s="16">
        <f t="shared" si="37"/>
        <v>0</v>
      </c>
      <c r="F49" s="16">
        <f t="shared" si="37"/>
        <v>940</v>
      </c>
      <c r="G49" s="16">
        <f t="shared" si="37"/>
        <v>0</v>
      </c>
      <c r="H49" s="16">
        <f t="shared" si="37"/>
        <v>0</v>
      </c>
      <c r="I49" s="16">
        <f t="shared" si="37"/>
        <v>0</v>
      </c>
      <c r="J49" s="16">
        <f t="shared" si="37"/>
        <v>0</v>
      </c>
      <c r="K49" s="16">
        <f t="shared" si="37"/>
        <v>0</v>
      </c>
      <c r="L49" s="16">
        <f t="shared" si="37"/>
        <v>0</v>
      </c>
      <c r="M49" s="16">
        <f t="shared" si="37"/>
        <v>0</v>
      </c>
      <c r="N49" s="16">
        <f t="shared" si="37"/>
        <v>0</v>
      </c>
      <c r="O49" s="16">
        <f t="shared" si="37"/>
        <v>0</v>
      </c>
      <c r="P49" s="16">
        <f t="shared" si="37"/>
        <v>0</v>
      </c>
      <c r="Q49" s="16">
        <f t="shared" si="37"/>
        <v>0</v>
      </c>
      <c r="R49" s="16">
        <f t="shared" si="37"/>
        <v>0</v>
      </c>
      <c r="S49" s="16">
        <f t="shared" si="37"/>
        <v>0</v>
      </c>
    </row>
    <row r="50">
      <c r="A50" s="12" t="s">
        <v>91</v>
      </c>
      <c r="B50" s="13"/>
      <c r="C50" s="13"/>
      <c r="D50" s="13"/>
      <c r="E50" s="13"/>
      <c r="F50" s="14">
        <f>28.49</f>
        <v>28.49</v>
      </c>
      <c r="G50" s="17">
        <v>0.0</v>
      </c>
      <c r="H50" s="14">
        <f t="shared" ref="H50:S50" si="38">G50</f>
        <v>0</v>
      </c>
      <c r="I50" s="14">
        <f t="shared" si="38"/>
        <v>0</v>
      </c>
      <c r="J50" s="14">
        <f t="shared" si="38"/>
        <v>0</v>
      </c>
      <c r="K50" s="14">
        <f t="shared" si="38"/>
        <v>0</v>
      </c>
      <c r="L50" s="14">
        <f t="shared" si="38"/>
        <v>0</v>
      </c>
      <c r="M50" s="14">
        <f t="shared" si="38"/>
        <v>0</v>
      </c>
      <c r="N50" s="14">
        <f t="shared" si="38"/>
        <v>0</v>
      </c>
      <c r="O50" s="14">
        <f t="shared" si="38"/>
        <v>0</v>
      </c>
      <c r="P50" s="14">
        <f t="shared" si="38"/>
        <v>0</v>
      </c>
      <c r="Q50" s="14">
        <f t="shared" si="38"/>
        <v>0</v>
      </c>
      <c r="R50" s="14">
        <f t="shared" si="38"/>
        <v>0</v>
      </c>
      <c r="S50" s="14">
        <f t="shared" si="38"/>
        <v>0</v>
      </c>
    </row>
    <row r="51">
      <c r="A51" s="12" t="s">
        <v>92</v>
      </c>
      <c r="B51" s="13"/>
      <c r="C51" s="13"/>
      <c r="D51" s="13"/>
      <c r="E51" s="13"/>
      <c r="F51" s="14">
        <f>18.08</f>
        <v>18.08</v>
      </c>
      <c r="G51" s="17">
        <v>0.0</v>
      </c>
      <c r="H51" s="14">
        <f t="shared" ref="H51:S51" si="39">G51</f>
        <v>0</v>
      </c>
      <c r="I51" s="14">
        <f t="shared" si="39"/>
        <v>0</v>
      </c>
      <c r="J51" s="14">
        <f t="shared" si="39"/>
        <v>0</v>
      </c>
      <c r="K51" s="14">
        <f t="shared" si="39"/>
        <v>0</v>
      </c>
      <c r="L51" s="14">
        <f t="shared" si="39"/>
        <v>0</v>
      </c>
      <c r="M51" s="14">
        <f t="shared" si="39"/>
        <v>0</v>
      </c>
      <c r="N51" s="14">
        <f t="shared" si="39"/>
        <v>0</v>
      </c>
      <c r="O51" s="14">
        <f t="shared" si="39"/>
        <v>0</v>
      </c>
      <c r="P51" s="14">
        <f t="shared" si="39"/>
        <v>0</v>
      </c>
      <c r="Q51" s="14">
        <f t="shared" si="39"/>
        <v>0</v>
      </c>
      <c r="R51" s="14">
        <f t="shared" si="39"/>
        <v>0</v>
      </c>
      <c r="S51" s="14">
        <f t="shared" si="39"/>
        <v>0</v>
      </c>
    </row>
    <row r="52">
      <c r="A52" s="12" t="s">
        <v>93</v>
      </c>
      <c r="B52" s="13"/>
      <c r="C52" s="13"/>
      <c r="D52" s="13"/>
      <c r="E52" s="14">
        <f>900</f>
        <v>900</v>
      </c>
      <c r="F52" s="13"/>
      <c r="G52" s="20">
        <v>1800.0</v>
      </c>
      <c r="H52" s="20">
        <v>900.0</v>
      </c>
      <c r="I52" s="13">
        <f t="shared" ref="I52:S52" si="40">H52</f>
        <v>900</v>
      </c>
      <c r="J52" s="13">
        <f t="shared" si="40"/>
        <v>900</v>
      </c>
      <c r="K52" s="13">
        <f t="shared" si="40"/>
        <v>900</v>
      </c>
      <c r="L52" s="13">
        <f t="shared" si="40"/>
        <v>900</v>
      </c>
      <c r="M52" s="13">
        <f t="shared" si="40"/>
        <v>900</v>
      </c>
      <c r="N52" s="13">
        <f t="shared" si="40"/>
        <v>900</v>
      </c>
      <c r="O52" s="13">
        <f t="shared" si="40"/>
        <v>900</v>
      </c>
      <c r="P52" s="13">
        <f t="shared" si="40"/>
        <v>900</v>
      </c>
      <c r="Q52" s="13">
        <f t="shared" si="40"/>
        <v>900</v>
      </c>
      <c r="R52" s="13">
        <f t="shared" si="40"/>
        <v>900</v>
      </c>
      <c r="S52" s="13">
        <f t="shared" si="40"/>
        <v>900</v>
      </c>
      <c r="T52" s="13"/>
      <c r="U52" s="13"/>
      <c r="V52" s="13"/>
      <c r="W52" s="13"/>
      <c r="X52" s="13"/>
      <c r="Y52" s="13"/>
    </row>
    <row r="53">
      <c r="A53" s="12" t="s">
        <v>94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>
      <c r="A54" s="12" t="s">
        <v>95</v>
      </c>
      <c r="B54" s="13"/>
      <c r="C54" s="13"/>
      <c r="D54" s="14">
        <f>86.44</f>
        <v>86.44</v>
      </c>
      <c r="E54" s="14">
        <f>114.09</f>
        <v>114.09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>
      <c r="A55" s="12" t="s">
        <v>96</v>
      </c>
      <c r="B55" s="13"/>
      <c r="C55" s="13"/>
      <c r="D55" s="14">
        <f>56.5</f>
        <v>56.5</v>
      </c>
      <c r="E55" s="14">
        <f>74.36</f>
        <v>74.36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>
      <c r="A56" s="12" t="s">
        <v>97</v>
      </c>
      <c r="B56" s="16">
        <f t="shared" ref="B56:S56" si="41">((B53)+(B54))+(B55)</f>
        <v>0</v>
      </c>
      <c r="C56" s="16">
        <f t="shared" si="41"/>
        <v>0</v>
      </c>
      <c r="D56" s="16">
        <f t="shared" si="41"/>
        <v>142.94</v>
      </c>
      <c r="E56" s="16">
        <f t="shared" si="41"/>
        <v>188.45</v>
      </c>
      <c r="F56" s="16">
        <f t="shared" si="41"/>
        <v>0</v>
      </c>
      <c r="G56" s="16">
        <f t="shared" si="41"/>
        <v>0</v>
      </c>
      <c r="H56" s="16">
        <f t="shared" si="41"/>
        <v>0</v>
      </c>
      <c r="I56" s="16">
        <f t="shared" si="41"/>
        <v>0</v>
      </c>
      <c r="J56" s="16">
        <f t="shared" si="41"/>
        <v>0</v>
      </c>
      <c r="K56" s="16">
        <f t="shared" si="41"/>
        <v>0</v>
      </c>
      <c r="L56" s="16">
        <f t="shared" si="41"/>
        <v>0</v>
      </c>
      <c r="M56" s="16">
        <f t="shared" si="41"/>
        <v>0</v>
      </c>
      <c r="N56" s="16">
        <f t="shared" si="41"/>
        <v>0</v>
      </c>
      <c r="O56" s="16">
        <f t="shared" si="41"/>
        <v>0</v>
      </c>
      <c r="P56" s="16">
        <f t="shared" si="41"/>
        <v>0</v>
      </c>
      <c r="Q56" s="16">
        <f t="shared" si="41"/>
        <v>0</v>
      </c>
      <c r="R56" s="16">
        <f t="shared" si="41"/>
        <v>0</v>
      </c>
      <c r="S56" s="16">
        <f t="shared" si="41"/>
        <v>0</v>
      </c>
    </row>
    <row r="57">
      <c r="A57" s="12" t="s">
        <v>98</v>
      </c>
      <c r="B57" s="16">
        <f t="shared" ref="B57:S57" si="42">((((((((((B29)+(B32))+(B33))+(B34))+(B41))+(B46))+(B49))+(B50))+(B51))+(B52))+(B56)</f>
        <v>300</v>
      </c>
      <c r="C57" s="16">
        <f t="shared" si="42"/>
        <v>0</v>
      </c>
      <c r="D57" s="16">
        <f t="shared" si="42"/>
        <v>605.57</v>
      </c>
      <c r="E57" s="16">
        <f t="shared" si="42"/>
        <v>1467.64</v>
      </c>
      <c r="F57" s="16">
        <f t="shared" si="42"/>
        <v>2830.1</v>
      </c>
      <c r="G57" s="16">
        <f t="shared" si="42"/>
        <v>4069.461667</v>
      </c>
      <c r="H57" s="16">
        <f t="shared" si="42"/>
        <v>3169.461667</v>
      </c>
      <c r="I57" s="16">
        <f t="shared" si="42"/>
        <v>3169.461667</v>
      </c>
      <c r="J57" s="16">
        <f t="shared" si="42"/>
        <v>3173.771</v>
      </c>
      <c r="K57" s="16">
        <f t="shared" si="42"/>
        <v>3172.1372</v>
      </c>
      <c r="L57" s="16">
        <f t="shared" si="42"/>
        <v>3670.85864</v>
      </c>
      <c r="M57" s="16">
        <f t="shared" si="42"/>
        <v>3671.138035</v>
      </c>
      <c r="N57" s="16">
        <f t="shared" si="42"/>
        <v>3171.473308</v>
      </c>
      <c r="O57" s="16">
        <f t="shared" si="42"/>
        <v>3171.875637</v>
      </c>
      <c r="P57" s="16">
        <f t="shared" si="42"/>
        <v>3171.496564</v>
      </c>
      <c r="Q57" s="16">
        <f t="shared" si="42"/>
        <v>3171.368437</v>
      </c>
      <c r="R57" s="16">
        <f t="shared" si="42"/>
        <v>3171.470396</v>
      </c>
      <c r="S57" s="16">
        <f t="shared" si="42"/>
        <v>3171.536868</v>
      </c>
    </row>
    <row r="58">
      <c r="A58" s="12" t="s">
        <v>99</v>
      </c>
      <c r="B58" s="16">
        <f t="shared" ref="B58:S58" si="43">(B27)-(B57)</f>
        <v>91.25</v>
      </c>
      <c r="C58" s="16">
        <f t="shared" si="43"/>
        <v>365</v>
      </c>
      <c r="D58" s="16">
        <f t="shared" si="43"/>
        <v>412.43</v>
      </c>
      <c r="E58" s="16">
        <f t="shared" si="43"/>
        <v>43</v>
      </c>
      <c r="F58" s="16">
        <f t="shared" si="43"/>
        <v>3680.78</v>
      </c>
      <c r="G58" s="16">
        <f t="shared" si="43"/>
        <v>-35.04666667</v>
      </c>
      <c r="H58" s="16">
        <f t="shared" si="43"/>
        <v>1093.008333</v>
      </c>
      <c r="I58" s="16">
        <f t="shared" si="43"/>
        <v>1195.653333</v>
      </c>
      <c r="J58" s="16">
        <f t="shared" si="43"/>
        <v>1209.143</v>
      </c>
      <c r="K58" s="16">
        <f t="shared" si="43"/>
        <v>1539.0216</v>
      </c>
      <c r="L58" s="16">
        <f t="shared" si="43"/>
        <v>680.35592</v>
      </c>
      <c r="M58" s="16">
        <f t="shared" si="43"/>
        <v>743.4364373</v>
      </c>
      <c r="N58" s="16">
        <f t="shared" si="43"/>
        <v>1273.522058</v>
      </c>
      <c r="O58" s="16">
        <f t="shared" si="43"/>
        <v>1289.095803</v>
      </c>
      <c r="P58" s="16">
        <f t="shared" si="43"/>
        <v>1305.086364</v>
      </c>
      <c r="Q58" s="16">
        <f t="shared" si="43"/>
        <v>1258.299316</v>
      </c>
      <c r="R58" s="16">
        <f t="shared" si="43"/>
        <v>1273.887996</v>
      </c>
      <c r="S58" s="16">
        <f t="shared" si="43"/>
        <v>1279.978307</v>
      </c>
    </row>
    <row r="59">
      <c r="A59" s="12" t="s">
        <v>100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>
      <c r="A60" s="12" t="s">
        <v>101</v>
      </c>
      <c r="B60" s="13"/>
      <c r="C60" s="13"/>
      <c r="D60" s="13"/>
      <c r="E60" s="14">
        <f>916</f>
        <v>916</v>
      </c>
      <c r="F60" s="14">
        <f>2000</f>
        <v>2000</v>
      </c>
      <c r="G60" s="17">
        <v>0.0</v>
      </c>
      <c r="H60" s="17">
        <f t="shared" ref="H60:S60" si="44">G60</f>
        <v>0</v>
      </c>
      <c r="I60" s="17">
        <f t="shared" si="44"/>
        <v>0</v>
      </c>
      <c r="J60" s="17">
        <f t="shared" si="44"/>
        <v>0</v>
      </c>
      <c r="K60" s="17">
        <f t="shared" si="44"/>
        <v>0</v>
      </c>
      <c r="L60" s="17">
        <f t="shared" si="44"/>
        <v>0</v>
      </c>
      <c r="M60" s="17">
        <f t="shared" si="44"/>
        <v>0</v>
      </c>
      <c r="N60" s="17">
        <f t="shared" si="44"/>
        <v>0</v>
      </c>
      <c r="O60" s="17">
        <f t="shared" si="44"/>
        <v>0</v>
      </c>
      <c r="P60" s="17">
        <f t="shared" si="44"/>
        <v>0</v>
      </c>
      <c r="Q60" s="17">
        <f t="shared" si="44"/>
        <v>0</v>
      </c>
      <c r="R60" s="17">
        <f t="shared" si="44"/>
        <v>0</v>
      </c>
      <c r="S60" s="17">
        <f t="shared" si="44"/>
        <v>0</v>
      </c>
    </row>
    <row r="61">
      <c r="A61" s="12" t="s">
        <v>102</v>
      </c>
      <c r="B61" s="16" t="str">
        <f t="shared" ref="B61:S61" si="45">B60</f>
        <v/>
      </c>
      <c r="C61" s="16" t="str">
        <f t="shared" si="45"/>
        <v/>
      </c>
      <c r="D61" s="16" t="str">
        <f t="shared" si="45"/>
        <v/>
      </c>
      <c r="E61" s="16">
        <f t="shared" si="45"/>
        <v>916</v>
      </c>
      <c r="F61" s="16">
        <f t="shared" si="45"/>
        <v>2000</v>
      </c>
      <c r="G61" s="16">
        <f t="shared" si="45"/>
        <v>0</v>
      </c>
      <c r="H61" s="16">
        <f t="shared" si="45"/>
        <v>0</v>
      </c>
      <c r="I61" s="16">
        <f t="shared" si="45"/>
        <v>0</v>
      </c>
      <c r="J61" s="16">
        <f t="shared" si="45"/>
        <v>0</v>
      </c>
      <c r="K61" s="16">
        <f t="shared" si="45"/>
        <v>0</v>
      </c>
      <c r="L61" s="16">
        <f t="shared" si="45"/>
        <v>0</v>
      </c>
      <c r="M61" s="16">
        <f t="shared" si="45"/>
        <v>0</v>
      </c>
      <c r="N61" s="16">
        <f t="shared" si="45"/>
        <v>0</v>
      </c>
      <c r="O61" s="16">
        <f t="shared" si="45"/>
        <v>0</v>
      </c>
      <c r="P61" s="16">
        <f t="shared" si="45"/>
        <v>0</v>
      </c>
      <c r="Q61" s="16">
        <f t="shared" si="45"/>
        <v>0</v>
      </c>
      <c r="R61" s="16">
        <f t="shared" si="45"/>
        <v>0</v>
      </c>
      <c r="S61" s="16">
        <f t="shared" si="45"/>
        <v>0</v>
      </c>
    </row>
    <row r="62">
      <c r="A62" s="12" t="s">
        <v>103</v>
      </c>
      <c r="B62" s="16">
        <f t="shared" ref="B62:S62" si="46">(0)-(B61)</f>
        <v>0</v>
      </c>
      <c r="C62" s="16">
        <f t="shared" si="46"/>
        <v>0</v>
      </c>
      <c r="D62" s="16">
        <f t="shared" si="46"/>
        <v>0</v>
      </c>
      <c r="E62" s="16">
        <f t="shared" si="46"/>
        <v>-916</v>
      </c>
      <c r="F62" s="16">
        <f t="shared" si="46"/>
        <v>-2000</v>
      </c>
      <c r="G62" s="16">
        <f t="shared" si="46"/>
        <v>0</v>
      </c>
      <c r="H62" s="16">
        <f t="shared" si="46"/>
        <v>0</v>
      </c>
      <c r="I62" s="16">
        <f t="shared" si="46"/>
        <v>0</v>
      </c>
      <c r="J62" s="16">
        <f t="shared" si="46"/>
        <v>0</v>
      </c>
      <c r="K62" s="16">
        <f t="shared" si="46"/>
        <v>0</v>
      </c>
      <c r="L62" s="16">
        <f t="shared" si="46"/>
        <v>0</v>
      </c>
      <c r="M62" s="16">
        <f t="shared" si="46"/>
        <v>0</v>
      </c>
      <c r="N62" s="16">
        <f t="shared" si="46"/>
        <v>0</v>
      </c>
      <c r="O62" s="16">
        <f t="shared" si="46"/>
        <v>0</v>
      </c>
      <c r="P62" s="16">
        <f t="shared" si="46"/>
        <v>0</v>
      </c>
      <c r="Q62" s="16">
        <f t="shared" si="46"/>
        <v>0</v>
      </c>
      <c r="R62" s="16">
        <f t="shared" si="46"/>
        <v>0</v>
      </c>
      <c r="S62" s="16">
        <f t="shared" si="46"/>
        <v>0</v>
      </c>
    </row>
    <row r="63">
      <c r="A63" s="12" t="s">
        <v>104</v>
      </c>
      <c r="B63" s="16">
        <f t="shared" ref="B63:S63" si="47">(B58)+(B62)</f>
        <v>91.25</v>
      </c>
      <c r="C63" s="16">
        <f t="shared" si="47"/>
        <v>365</v>
      </c>
      <c r="D63" s="16">
        <f t="shared" si="47"/>
        <v>412.43</v>
      </c>
      <c r="E63" s="16">
        <f t="shared" si="47"/>
        <v>-873</v>
      </c>
      <c r="F63" s="16">
        <f t="shared" si="47"/>
        <v>1680.78</v>
      </c>
      <c r="G63" s="16">
        <f t="shared" si="47"/>
        <v>-35.04666667</v>
      </c>
      <c r="H63" s="16">
        <f t="shared" si="47"/>
        <v>1093.008333</v>
      </c>
      <c r="I63" s="16">
        <f t="shared" si="47"/>
        <v>1195.653333</v>
      </c>
      <c r="J63" s="16">
        <f t="shared" si="47"/>
        <v>1209.143</v>
      </c>
      <c r="K63" s="16">
        <f t="shared" si="47"/>
        <v>1539.0216</v>
      </c>
      <c r="L63" s="16">
        <f t="shared" si="47"/>
        <v>680.35592</v>
      </c>
      <c r="M63" s="16">
        <f t="shared" si="47"/>
        <v>743.4364373</v>
      </c>
      <c r="N63" s="16">
        <f t="shared" si="47"/>
        <v>1273.522058</v>
      </c>
      <c r="O63" s="16">
        <f t="shared" si="47"/>
        <v>1289.095803</v>
      </c>
      <c r="P63" s="16">
        <f t="shared" si="47"/>
        <v>1305.086364</v>
      </c>
      <c r="Q63" s="16">
        <f t="shared" si="47"/>
        <v>1258.299316</v>
      </c>
      <c r="R63" s="16">
        <f t="shared" si="47"/>
        <v>1273.887996</v>
      </c>
      <c r="S63" s="16">
        <f t="shared" si="47"/>
        <v>1279.978307</v>
      </c>
    </row>
    <row r="64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38.71"/>
  </cols>
  <sheetData>
    <row r="1">
      <c r="A1" s="1" t="s">
        <v>0</v>
      </c>
    </row>
    <row r="2">
      <c r="A2" s="21" t="s">
        <v>105</v>
      </c>
    </row>
    <row r="3">
      <c r="A3" s="4" t="s">
        <v>2</v>
      </c>
    </row>
    <row r="4">
      <c r="A4" s="7"/>
    </row>
    <row r="5">
      <c r="A5" s="9"/>
      <c r="B5" s="11">
        <v>42736.0</v>
      </c>
      <c r="C5" s="11">
        <f t="shared" ref="C5:S5" si="1">date(year(B5),month(B5)+1,day(B5))</f>
        <v>42767</v>
      </c>
      <c r="D5" s="11">
        <f t="shared" si="1"/>
        <v>42795</v>
      </c>
      <c r="E5" s="11">
        <f t="shared" si="1"/>
        <v>42826</v>
      </c>
      <c r="F5" s="11">
        <f t="shared" si="1"/>
        <v>42856</v>
      </c>
      <c r="G5" s="11">
        <f t="shared" si="1"/>
        <v>42887</v>
      </c>
      <c r="H5" s="11">
        <f t="shared" si="1"/>
        <v>42917</v>
      </c>
      <c r="I5" s="11">
        <f t="shared" si="1"/>
        <v>42948</v>
      </c>
      <c r="J5" s="11">
        <f t="shared" si="1"/>
        <v>42979</v>
      </c>
      <c r="K5" s="11">
        <f t="shared" si="1"/>
        <v>43009</v>
      </c>
      <c r="L5" s="11">
        <f t="shared" si="1"/>
        <v>43040</v>
      </c>
      <c r="M5" s="11">
        <f t="shared" si="1"/>
        <v>43070</v>
      </c>
      <c r="N5" s="11">
        <f t="shared" si="1"/>
        <v>43101</v>
      </c>
      <c r="O5" s="11">
        <f t="shared" si="1"/>
        <v>43132</v>
      </c>
      <c r="P5" s="11">
        <f t="shared" si="1"/>
        <v>43160</v>
      </c>
      <c r="Q5" s="11">
        <f t="shared" si="1"/>
        <v>43191</v>
      </c>
      <c r="R5" s="11">
        <f t="shared" si="1"/>
        <v>43221</v>
      </c>
      <c r="S5" s="11">
        <f t="shared" si="1"/>
        <v>43252</v>
      </c>
    </row>
    <row r="6">
      <c r="A6" s="22" t="s">
        <v>106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>
      <c r="A7" s="24" t="s">
        <v>104</v>
      </c>
      <c r="B7" s="23">
        <f>'Profit and Loss'!B63</f>
        <v>91.25</v>
      </c>
      <c r="C7" s="23">
        <f>'Profit and Loss'!C63</f>
        <v>365</v>
      </c>
      <c r="D7" s="23">
        <f>'Profit and Loss'!D63</f>
        <v>412.43</v>
      </c>
      <c r="E7" s="23">
        <f>'Profit and Loss'!E63</f>
        <v>-873</v>
      </c>
      <c r="F7" s="23">
        <f>'Profit and Loss'!F63</f>
        <v>1680.78</v>
      </c>
      <c r="G7" s="23">
        <f>'Profit and Loss'!G63</f>
        <v>-35.04666667</v>
      </c>
      <c r="H7" s="23">
        <f>'Profit and Loss'!H63</f>
        <v>1093.008333</v>
      </c>
      <c r="I7" s="23">
        <f>'Profit and Loss'!I63</f>
        <v>1195.653333</v>
      </c>
      <c r="J7" s="23">
        <f>'Profit and Loss'!J63</f>
        <v>1209.143</v>
      </c>
      <c r="K7" s="23">
        <f>'Profit and Loss'!K63</f>
        <v>1539.0216</v>
      </c>
      <c r="L7" s="23">
        <f>'Profit and Loss'!L63</f>
        <v>680.35592</v>
      </c>
      <c r="M7" s="23">
        <f>'Profit and Loss'!M63</f>
        <v>743.4364373</v>
      </c>
      <c r="N7" s="23">
        <f>'Profit and Loss'!N63</f>
        <v>1273.522058</v>
      </c>
      <c r="O7" s="23">
        <f>'Profit and Loss'!O63</f>
        <v>1289.095803</v>
      </c>
      <c r="P7" s="23">
        <f>'Profit and Loss'!P63</f>
        <v>1305.086364</v>
      </c>
      <c r="Q7" s="23">
        <f>'Profit and Loss'!Q63</f>
        <v>1258.299316</v>
      </c>
      <c r="R7" s="23">
        <f>'Profit and Loss'!R63</f>
        <v>1273.887996</v>
      </c>
      <c r="S7" s="23">
        <f>'Profit and Loss'!S63</f>
        <v>1279.978307</v>
      </c>
    </row>
    <row r="8">
      <c r="A8" s="25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>
      <c r="A9" s="26" t="s">
        <v>107</v>
      </c>
      <c r="B9" s="23">
        <f>'Balance Sheet'!B13-'Balance Sheet'!C13</f>
        <v>-401.75</v>
      </c>
      <c r="C9" s="23">
        <f>'Balance Sheet'!C13-'Balance Sheet'!D13</f>
        <v>14.75</v>
      </c>
      <c r="D9" s="23">
        <f>'Balance Sheet'!D13-'Balance Sheet'!E13</f>
        <v>-1062.4</v>
      </c>
      <c r="E9" s="23">
        <f>'Balance Sheet'!E13-'Balance Sheet'!F13</f>
        <v>-704.6</v>
      </c>
      <c r="F9" s="23">
        <f>'Balance Sheet'!F13-'Balance Sheet'!G13</f>
        <v>-3127.52</v>
      </c>
      <c r="G9" s="23">
        <f>'Balance Sheet'!G13-'Balance Sheet'!H13</f>
        <v>842.105</v>
      </c>
      <c r="H9" s="23">
        <f>'Balance Sheet'!H13-'Balance Sheet'!I13</f>
        <v>-228.055</v>
      </c>
      <c r="I9" s="23">
        <f>'Balance Sheet'!I13-'Balance Sheet'!J13</f>
        <v>-102.645</v>
      </c>
      <c r="J9" s="23">
        <f>'Balance Sheet'!J13-'Balance Sheet'!K13</f>
        <v>-17.799</v>
      </c>
      <c r="K9" s="23">
        <f>'Balance Sheet'!K13-'Balance Sheet'!L13</f>
        <v>-328.2448</v>
      </c>
      <c r="L9" s="23">
        <f>'Balance Sheet'!L13-'Balance Sheet'!M13</f>
        <v>359.94424</v>
      </c>
      <c r="M9" s="23">
        <f>'Balance Sheet'!M13-'Balance Sheet'!N13</f>
        <v>-63.359912</v>
      </c>
      <c r="N9" s="23">
        <f>'Balance Sheet'!N13-'Balance Sheet'!O13</f>
        <v>-30.4208944</v>
      </c>
      <c r="O9" s="23">
        <f>'Balance Sheet'!O13-'Balance Sheet'!P13</f>
        <v>-15.97607328</v>
      </c>
      <c r="P9" s="23">
        <f>'Balance Sheet'!P13-'Balance Sheet'!Q13</f>
        <v>-15.61148794</v>
      </c>
      <c r="Q9" s="23">
        <f>'Balance Sheet'!Q13-'Balance Sheet'!R13</f>
        <v>46.91517448</v>
      </c>
      <c r="R9" s="23">
        <f>'Balance Sheet'!R13-'Balance Sheet'!S13</f>
        <v>-15.69063863</v>
      </c>
      <c r="S9" s="23">
        <f>'Balance Sheet'!S13-'Balance Sheet'!T13</f>
        <v>-6.156783953</v>
      </c>
    </row>
    <row r="10">
      <c r="A10" s="26" t="s">
        <v>108</v>
      </c>
      <c r="B10" s="23">
        <f>'Balance Sheet'!B16-'Balance Sheet'!C16</f>
        <v>0</v>
      </c>
      <c r="C10" s="23">
        <f>'Balance Sheet'!C16-'Balance Sheet'!D16</f>
        <v>0</v>
      </c>
      <c r="D10" s="23">
        <f>'Balance Sheet'!D16-'Balance Sheet'!E16</f>
        <v>0</v>
      </c>
      <c r="E10" s="23">
        <f>'Balance Sheet'!E16-'Balance Sheet'!F16</f>
        <v>0</v>
      </c>
      <c r="F10" s="23">
        <f>'Balance Sheet'!F16-'Balance Sheet'!G16</f>
        <v>-596.25</v>
      </c>
      <c r="G10" s="23">
        <f>'Balance Sheet'!G16-'Balance Sheet'!H16</f>
        <v>0</v>
      </c>
      <c r="H10" s="23">
        <f>'Balance Sheet'!H16-'Balance Sheet'!I16</f>
        <v>0</v>
      </c>
      <c r="I10" s="23">
        <f>'Balance Sheet'!I16-'Balance Sheet'!J16</f>
        <v>0</v>
      </c>
      <c r="J10" s="23">
        <f>'Balance Sheet'!J16-'Balance Sheet'!K16</f>
        <v>0</v>
      </c>
      <c r="K10" s="23">
        <f>'Balance Sheet'!K16-'Balance Sheet'!L16</f>
        <v>0</v>
      </c>
      <c r="L10" s="23">
        <f>'Balance Sheet'!L16-'Balance Sheet'!M16</f>
        <v>0</v>
      </c>
      <c r="M10" s="23">
        <f>'Balance Sheet'!M16-'Balance Sheet'!N16</f>
        <v>0</v>
      </c>
      <c r="N10" s="23">
        <f>'Balance Sheet'!N16-'Balance Sheet'!O16</f>
        <v>0</v>
      </c>
      <c r="O10" s="23">
        <f>'Balance Sheet'!O16-'Balance Sheet'!P16</f>
        <v>0</v>
      </c>
      <c r="P10" s="23">
        <f>'Balance Sheet'!P16-'Balance Sheet'!Q16</f>
        <v>0</v>
      </c>
      <c r="Q10" s="23">
        <f>'Balance Sheet'!Q16-'Balance Sheet'!R16</f>
        <v>0</v>
      </c>
      <c r="R10" s="23">
        <f>'Balance Sheet'!R16-'Balance Sheet'!S16</f>
        <v>0</v>
      </c>
      <c r="S10" s="23">
        <f>'Balance Sheet'!S16-'Balance Sheet'!T16</f>
        <v>0</v>
      </c>
    </row>
    <row r="11">
      <c r="A11" s="26" t="s">
        <v>109</v>
      </c>
      <c r="B11" s="23">
        <f>'Balance Sheet'!B17-'Balance Sheet'!C17</f>
        <v>0</v>
      </c>
      <c r="C11" s="23">
        <f>'Balance Sheet'!C17-'Balance Sheet'!D17</f>
        <v>-226.75</v>
      </c>
      <c r="D11" s="23">
        <f>'Balance Sheet'!D17-'Balance Sheet'!E17</f>
        <v>0</v>
      </c>
      <c r="E11" s="23">
        <f>'Balance Sheet'!E17-'Balance Sheet'!F17</f>
        <v>-460.4</v>
      </c>
      <c r="F11" s="23">
        <f>'Balance Sheet'!F17-'Balance Sheet'!G17</f>
        <v>-1375.37</v>
      </c>
      <c r="G11" s="23">
        <f>'Balance Sheet'!G17-'Balance Sheet'!H17</f>
        <v>2062.52</v>
      </c>
      <c r="H11" s="23">
        <f>'Balance Sheet'!H17-'Balance Sheet'!I17</f>
        <v>0</v>
      </c>
      <c r="I11" s="23">
        <f>'Balance Sheet'!I17-'Balance Sheet'!J17</f>
        <v>0</v>
      </c>
      <c r="J11" s="23">
        <f>'Balance Sheet'!J17-'Balance Sheet'!K17</f>
        <v>0</v>
      </c>
      <c r="K11" s="23">
        <f>'Balance Sheet'!K17-'Balance Sheet'!L17</f>
        <v>0</v>
      </c>
      <c r="L11" s="23">
        <f>'Balance Sheet'!L17-'Balance Sheet'!M17</f>
        <v>0</v>
      </c>
      <c r="M11" s="23">
        <f>'Balance Sheet'!M17-'Balance Sheet'!N17</f>
        <v>0</v>
      </c>
      <c r="N11" s="23">
        <f>'Balance Sheet'!N17-'Balance Sheet'!O17</f>
        <v>0</v>
      </c>
      <c r="O11" s="23">
        <f>'Balance Sheet'!O17-'Balance Sheet'!P17</f>
        <v>0</v>
      </c>
      <c r="P11" s="23">
        <f>'Balance Sheet'!P17-'Balance Sheet'!Q17</f>
        <v>0</v>
      </c>
      <c r="Q11" s="23">
        <f>'Balance Sheet'!Q17-'Balance Sheet'!R17</f>
        <v>0</v>
      </c>
      <c r="R11" s="23">
        <f>'Balance Sheet'!R17-'Balance Sheet'!S17</f>
        <v>0</v>
      </c>
      <c r="S11" s="23">
        <f>'Balance Sheet'!S17-'Balance Sheet'!T17</f>
        <v>0</v>
      </c>
    </row>
    <row r="12">
      <c r="A12" s="26" t="s">
        <v>110</v>
      </c>
      <c r="B12" s="23">
        <f>'Balance Sheet'!C30-'Balance Sheet'!B30</f>
        <v>300</v>
      </c>
      <c r="C12" s="23">
        <f>'Balance Sheet'!D30-'Balance Sheet'!C30</f>
        <v>-300</v>
      </c>
      <c r="D12" s="23">
        <f>'Balance Sheet'!E30-'Balance Sheet'!D30</f>
        <v>142.94</v>
      </c>
      <c r="E12" s="23">
        <f>'Balance Sheet'!F30-'Balance Sheet'!E30</f>
        <v>1754.45</v>
      </c>
      <c r="F12" s="23">
        <f>'Balance Sheet'!G30-'Balance Sheet'!F30</f>
        <v>-294.72</v>
      </c>
      <c r="G12" s="23">
        <f>'Balance Sheet'!H30-'Balance Sheet'!G30</f>
        <v>0</v>
      </c>
      <c r="H12" s="23">
        <f>'Balance Sheet'!I30-'Balance Sheet'!H30</f>
        <v>0</v>
      </c>
      <c r="I12" s="23">
        <f>'Balance Sheet'!J30-'Balance Sheet'!I30</f>
        <v>0</v>
      </c>
      <c r="J12" s="23">
        <f>'Balance Sheet'!K30-'Balance Sheet'!J30</f>
        <v>0</v>
      </c>
      <c r="K12" s="23">
        <f>'Balance Sheet'!L30-'Balance Sheet'!K30</f>
        <v>0</v>
      </c>
      <c r="L12" s="23">
        <f>'Balance Sheet'!M30-'Balance Sheet'!L30</f>
        <v>0</v>
      </c>
      <c r="M12" s="23">
        <f>'Balance Sheet'!N30-'Balance Sheet'!M30</f>
        <v>0</v>
      </c>
      <c r="N12" s="23">
        <f>'Balance Sheet'!O30-'Balance Sheet'!N30</f>
        <v>0</v>
      </c>
      <c r="O12" s="23">
        <f>'Balance Sheet'!P30-'Balance Sheet'!O30</f>
        <v>0</v>
      </c>
      <c r="P12" s="23">
        <f>'Balance Sheet'!Q30-'Balance Sheet'!P30</f>
        <v>0</v>
      </c>
      <c r="Q12" s="23">
        <f>'Balance Sheet'!R30-'Balance Sheet'!Q30</f>
        <v>0</v>
      </c>
      <c r="R12" s="23">
        <f>'Balance Sheet'!S30-'Balance Sheet'!R30</f>
        <v>0</v>
      </c>
      <c r="S12" s="23">
        <f>'Balance Sheet'!T30-'Balance Sheet'!S30</f>
        <v>0</v>
      </c>
    </row>
    <row r="13">
      <c r="A13" s="27" t="s">
        <v>111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>
      <c r="A14" s="26" t="s">
        <v>112</v>
      </c>
      <c r="B14" s="23">
        <f>'Balance Sheet'!C33-'Balance Sheet'!B33</f>
        <v>0</v>
      </c>
      <c r="C14" s="23">
        <f>'Balance Sheet'!D33-'Balance Sheet'!C33</f>
        <v>0</v>
      </c>
      <c r="D14" s="23">
        <f>'Balance Sheet'!E33-'Balance Sheet'!D33</f>
        <v>158.08</v>
      </c>
      <c r="E14" s="23">
        <f>'Balance Sheet'!F33-'Balance Sheet'!E33</f>
        <v>65</v>
      </c>
      <c r="F14" s="23">
        <f>'Balance Sheet'!G33-'Balance Sheet'!F33</f>
        <v>-99.36</v>
      </c>
      <c r="G14" s="23">
        <f>'Balance Sheet'!H33-'Balance Sheet'!G33</f>
        <v>1000</v>
      </c>
      <c r="H14" s="23">
        <f>'Balance Sheet'!I33-'Balance Sheet'!H33</f>
        <v>0</v>
      </c>
      <c r="I14" s="23">
        <f>'Balance Sheet'!J33-'Balance Sheet'!I33</f>
        <v>0</v>
      </c>
      <c r="J14" s="23">
        <f>'Balance Sheet'!K33-'Balance Sheet'!J33</f>
        <v>0</v>
      </c>
      <c r="K14" s="23">
        <f>'Balance Sheet'!L33-'Balance Sheet'!K33</f>
        <v>0</v>
      </c>
      <c r="L14" s="23">
        <f>'Balance Sheet'!M33-'Balance Sheet'!L33</f>
        <v>0</v>
      </c>
      <c r="M14" s="23">
        <f>'Balance Sheet'!N33-'Balance Sheet'!M33</f>
        <v>0</v>
      </c>
      <c r="N14" s="23">
        <f>'Balance Sheet'!O33-'Balance Sheet'!N33</f>
        <v>0</v>
      </c>
      <c r="O14" s="23">
        <f>'Balance Sheet'!P33-'Balance Sheet'!O33</f>
        <v>0</v>
      </c>
      <c r="P14" s="23">
        <f>'Balance Sheet'!Q33-'Balance Sheet'!P33</f>
        <v>0</v>
      </c>
      <c r="Q14" s="23">
        <f>'Balance Sheet'!R33-'Balance Sheet'!Q33</f>
        <v>0</v>
      </c>
      <c r="R14" s="23">
        <f>'Balance Sheet'!S33-'Balance Sheet'!R33</f>
        <v>0</v>
      </c>
      <c r="S14" s="23">
        <f>'Balance Sheet'!T33-'Balance Sheet'!S33</f>
        <v>0</v>
      </c>
    </row>
    <row r="15">
      <c r="A15" s="27" t="s">
        <v>113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>
      <c r="A16" s="26" t="s">
        <v>114</v>
      </c>
      <c r="B16" s="23">
        <f>'Balance Sheet'!C36-'Balance Sheet'!B36</f>
        <v>0</v>
      </c>
      <c r="C16" s="23">
        <f>'Balance Sheet'!D36-'Balance Sheet'!C36</f>
        <v>0</v>
      </c>
      <c r="D16" s="23">
        <f>'Balance Sheet'!E36-'Balance Sheet'!D36</f>
        <v>38.4</v>
      </c>
      <c r="E16" s="23">
        <f>'Balance Sheet'!F36-'Balance Sheet'!E36</f>
        <v>-38.4</v>
      </c>
      <c r="F16" s="23">
        <f>'Balance Sheet'!G36-'Balance Sheet'!F36</f>
        <v>0</v>
      </c>
      <c r="G16" s="23">
        <f>'Balance Sheet'!H36-'Balance Sheet'!G36</f>
        <v>0</v>
      </c>
      <c r="H16" s="23">
        <f>'Balance Sheet'!I36-'Balance Sheet'!H36</f>
        <v>0</v>
      </c>
      <c r="I16" s="23">
        <f>'Balance Sheet'!J36-'Balance Sheet'!I36</f>
        <v>0</v>
      </c>
      <c r="J16" s="23">
        <f>'Balance Sheet'!K36-'Balance Sheet'!J36</f>
        <v>0</v>
      </c>
      <c r="K16" s="23">
        <f>'Balance Sheet'!L36-'Balance Sheet'!K36</f>
        <v>0</v>
      </c>
      <c r="L16" s="23">
        <f>'Balance Sheet'!M36-'Balance Sheet'!L36</f>
        <v>0</v>
      </c>
      <c r="M16" s="23">
        <f>'Balance Sheet'!N36-'Balance Sheet'!M36</f>
        <v>0</v>
      </c>
      <c r="N16" s="23">
        <f>'Balance Sheet'!O36-'Balance Sheet'!N36</f>
        <v>0</v>
      </c>
      <c r="O16" s="23">
        <f>'Balance Sheet'!P36-'Balance Sheet'!O36</f>
        <v>0</v>
      </c>
      <c r="P16" s="23">
        <f>'Balance Sheet'!Q36-'Balance Sheet'!P36</f>
        <v>0</v>
      </c>
      <c r="Q16" s="23">
        <f>'Balance Sheet'!R36-'Balance Sheet'!Q36</f>
        <v>0</v>
      </c>
      <c r="R16" s="23">
        <f>'Balance Sheet'!S36-'Balance Sheet'!R36</f>
        <v>0</v>
      </c>
      <c r="S16" s="23">
        <f>'Balance Sheet'!T36-'Balance Sheet'!S36</f>
        <v>0</v>
      </c>
    </row>
    <row r="17">
      <c r="A17" s="26" t="s">
        <v>115</v>
      </c>
      <c r="B17" s="23">
        <f>'Balance Sheet'!C37-'Balance Sheet'!B37</f>
        <v>10.5</v>
      </c>
      <c r="C17" s="23">
        <f>'Balance Sheet'!D37-'Balance Sheet'!C37</f>
        <v>22</v>
      </c>
      <c r="D17" s="23">
        <f>'Balance Sheet'!E37-'Balance Sheet'!D37</f>
        <v>6</v>
      </c>
      <c r="E17" s="23">
        <f>'Balance Sheet'!F37-'Balance Sheet'!E37</f>
        <v>7.9</v>
      </c>
      <c r="F17" s="23">
        <f>'Balance Sheet'!G37-'Balance Sheet'!F37</f>
        <v>324.54</v>
      </c>
      <c r="G17" s="23">
        <f>'Balance Sheet'!H37-'Balance Sheet'!G37</f>
        <v>0</v>
      </c>
      <c r="H17" s="23">
        <f>'Balance Sheet'!I37-'Balance Sheet'!H37</f>
        <v>0</v>
      </c>
      <c r="I17" s="23">
        <f>'Balance Sheet'!J37-'Balance Sheet'!I37</f>
        <v>0</v>
      </c>
      <c r="J17" s="23">
        <f>'Balance Sheet'!K37-'Balance Sheet'!J37</f>
        <v>0</v>
      </c>
      <c r="K17" s="23">
        <f>'Balance Sheet'!L37-'Balance Sheet'!K37</f>
        <v>0</v>
      </c>
      <c r="L17" s="23">
        <f>'Balance Sheet'!M37-'Balance Sheet'!L37</f>
        <v>0</v>
      </c>
      <c r="M17" s="23">
        <f>'Balance Sheet'!N37-'Balance Sheet'!M37</f>
        <v>0</v>
      </c>
      <c r="N17" s="23">
        <f>'Balance Sheet'!O37-'Balance Sheet'!N37</f>
        <v>0</v>
      </c>
      <c r="O17" s="23">
        <f>'Balance Sheet'!P37-'Balance Sheet'!O37</f>
        <v>0</v>
      </c>
      <c r="P17" s="23">
        <f>'Balance Sheet'!Q37-'Balance Sheet'!P37</f>
        <v>0</v>
      </c>
      <c r="Q17" s="23">
        <f>'Balance Sheet'!R37-'Balance Sheet'!Q37</f>
        <v>0</v>
      </c>
      <c r="R17" s="23">
        <f>'Balance Sheet'!S37-'Balance Sheet'!R37</f>
        <v>0</v>
      </c>
      <c r="S17" s="23">
        <f>'Balance Sheet'!T37-'Balance Sheet'!S37</f>
        <v>0</v>
      </c>
    </row>
    <row r="18">
      <c r="A18" s="26" t="s">
        <v>116</v>
      </c>
      <c r="B18" s="23">
        <f>'Balance Sheet'!C38-'Balance Sheet'!B38</f>
        <v>0</v>
      </c>
      <c r="C18" s="23">
        <f>'Balance Sheet'!D38-'Balance Sheet'!C38</f>
        <v>0</v>
      </c>
      <c r="D18" s="23">
        <f>'Balance Sheet'!E38-'Balance Sheet'!D38</f>
        <v>0</v>
      </c>
      <c r="E18" s="23">
        <f>'Balance Sheet'!F38-'Balance Sheet'!E38</f>
        <v>0</v>
      </c>
      <c r="F18" s="23">
        <f>'Balance Sheet'!G38-'Balance Sheet'!F38</f>
        <v>4000</v>
      </c>
      <c r="G18" s="23">
        <f>'Balance Sheet'!H38-'Balance Sheet'!G38</f>
        <v>-1000</v>
      </c>
      <c r="H18" s="23">
        <f>'Balance Sheet'!I38-'Balance Sheet'!H38</f>
        <v>-1000</v>
      </c>
      <c r="I18" s="23">
        <f>'Balance Sheet'!J38-'Balance Sheet'!I38</f>
        <v>-1000</v>
      </c>
      <c r="J18" s="23">
        <f>'Balance Sheet'!K38-'Balance Sheet'!J38</f>
        <v>-1000</v>
      </c>
      <c r="K18" s="23">
        <f>'Balance Sheet'!L38-'Balance Sheet'!K38</f>
        <v>0</v>
      </c>
      <c r="L18" s="23">
        <f>'Balance Sheet'!M38-'Balance Sheet'!L38</f>
        <v>0</v>
      </c>
      <c r="M18" s="23">
        <f>'Balance Sheet'!N38-'Balance Sheet'!M38</f>
        <v>0</v>
      </c>
      <c r="N18" s="23">
        <f>'Balance Sheet'!O38-'Balance Sheet'!N38</f>
        <v>0</v>
      </c>
      <c r="O18" s="23">
        <f>'Balance Sheet'!P38-'Balance Sheet'!O38</f>
        <v>0</v>
      </c>
      <c r="P18" s="23">
        <f>'Balance Sheet'!Q38-'Balance Sheet'!P38</f>
        <v>0</v>
      </c>
      <c r="Q18" s="23">
        <f>'Balance Sheet'!R38-'Balance Sheet'!Q38</f>
        <v>0</v>
      </c>
      <c r="R18" s="23">
        <f>'Balance Sheet'!S38-'Balance Sheet'!R38</f>
        <v>0</v>
      </c>
      <c r="S18" s="23">
        <f>'Balance Sheet'!T38-'Balance Sheet'!S38</f>
        <v>0</v>
      </c>
    </row>
    <row r="19">
      <c r="A19" s="2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>
      <c r="A20" s="22" t="s">
        <v>117</v>
      </c>
      <c r="B20" s="28">
        <f t="shared" ref="B20:S20" si="2">sum(B7:B19)</f>
        <v>0</v>
      </c>
      <c r="C20" s="28">
        <f t="shared" si="2"/>
        <v>-125</v>
      </c>
      <c r="D20" s="28">
        <f t="shared" si="2"/>
        <v>-304.55</v>
      </c>
      <c r="E20" s="28">
        <f t="shared" si="2"/>
        <v>-249.05</v>
      </c>
      <c r="F20" s="28">
        <f t="shared" si="2"/>
        <v>512.1</v>
      </c>
      <c r="G20" s="28">
        <f t="shared" si="2"/>
        <v>2869.578333</v>
      </c>
      <c r="H20" s="28">
        <f t="shared" si="2"/>
        <v>-135.0466667</v>
      </c>
      <c r="I20" s="28">
        <f t="shared" si="2"/>
        <v>93.00833333</v>
      </c>
      <c r="J20" s="28">
        <f t="shared" si="2"/>
        <v>191.344</v>
      </c>
      <c r="K20" s="28">
        <f t="shared" si="2"/>
        <v>1210.7768</v>
      </c>
      <c r="L20" s="28">
        <f t="shared" si="2"/>
        <v>1040.30016</v>
      </c>
      <c r="M20" s="28">
        <f t="shared" si="2"/>
        <v>680.0765253</v>
      </c>
      <c r="N20" s="28">
        <f t="shared" si="2"/>
        <v>1243.101164</v>
      </c>
      <c r="O20" s="28">
        <f t="shared" si="2"/>
        <v>1273.11973</v>
      </c>
      <c r="P20" s="28">
        <f t="shared" si="2"/>
        <v>1289.474876</v>
      </c>
      <c r="Q20" s="28">
        <f t="shared" si="2"/>
        <v>1305.214491</v>
      </c>
      <c r="R20" s="28">
        <f t="shared" si="2"/>
        <v>1258.197357</v>
      </c>
      <c r="S20" s="28">
        <f t="shared" si="2"/>
        <v>1273.821523</v>
      </c>
    </row>
    <row r="2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>
      <c r="A23" s="22" t="s">
        <v>118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>
      <c r="A24" s="27" t="s">
        <v>119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>
      <c r="A25" s="27" t="s">
        <v>120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>
      <c r="A26" s="26" t="s">
        <v>121</v>
      </c>
      <c r="B26" s="23">
        <f>'Balance Sheet'!B22-'Balance Sheet'!C22</f>
        <v>0</v>
      </c>
      <c r="C26" s="23">
        <f>'Balance Sheet'!C22-'Balance Sheet'!D22</f>
        <v>0</v>
      </c>
      <c r="D26" s="23">
        <f>'Balance Sheet'!D22-'Balance Sheet'!E22</f>
        <v>0</v>
      </c>
      <c r="E26" s="23">
        <f>'Balance Sheet'!E22-'Balance Sheet'!F22</f>
        <v>-13495</v>
      </c>
      <c r="F26" s="23">
        <f>'Balance Sheet'!F22-'Balance Sheet'!G22</f>
        <v>0</v>
      </c>
      <c r="G26" s="23">
        <f>'Balance Sheet'!G22-'Balance Sheet'!H22</f>
        <v>0</v>
      </c>
      <c r="H26" s="23">
        <f>'Balance Sheet'!H22-'Balance Sheet'!I22</f>
        <v>0</v>
      </c>
      <c r="I26" s="23">
        <f>'Balance Sheet'!I22-'Balance Sheet'!J22</f>
        <v>0</v>
      </c>
      <c r="J26" s="23">
        <f>'Balance Sheet'!J22-'Balance Sheet'!K22</f>
        <v>0</v>
      </c>
      <c r="K26" s="23">
        <f>'Balance Sheet'!K22-'Balance Sheet'!L22</f>
        <v>0</v>
      </c>
      <c r="L26" s="23">
        <f>'Balance Sheet'!L22-'Balance Sheet'!M22</f>
        <v>0</v>
      </c>
      <c r="M26" s="23">
        <f>'Balance Sheet'!M22-'Balance Sheet'!N22</f>
        <v>0</v>
      </c>
      <c r="N26" s="23">
        <f>'Balance Sheet'!N22-'Balance Sheet'!O22</f>
        <v>0</v>
      </c>
      <c r="O26" s="23">
        <f>'Balance Sheet'!O22-'Balance Sheet'!P22</f>
        <v>0</v>
      </c>
      <c r="P26" s="23">
        <f>'Balance Sheet'!P22-'Balance Sheet'!Q22</f>
        <v>0</v>
      </c>
      <c r="Q26" s="23">
        <f>'Balance Sheet'!Q22-'Balance Sheet'!R22</f>
        <v>0</v>
      </c>
      <c r="R26" s="23">
        <f>'Balance Sheet'!R22-'Balance Sheet'!S22</f>
        <v>0</v>
      </c>
      <c r="S26" s="23">
        <f>'Balance Sheet'!S22-'Balance Sheet'!T22</f>
        <v>0</v>
      </c>
    </row>
    <row r="27">
      <c r="A27" s="26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>
      <c r="A28" s="22" t="s">
        <v>122</v>
      </c>
      <c r="B28" s="28">
        <f t="shared" ref="B28:S28" si="3">sum(B24:B27)</f>
        <v>0</v>
      </c>
      <c r="C28" s="28">
        <f t="shared" si="3"/>
        <v>0</v>
      </c>
      <c r="D28" s="28">
        <f t="shared" si="3"/>
        <v>0</v>
      </c>
      <c r="E28" s="28">
        <f t="shared" si="3"/>
        <v>-13495</v>
      </c>
      <c r="F28" s="28">
        <f t="shared" si="3"/>
        <v>0</v>
      </c>
      <c r="G28" s="28">
        <f t="shared" si="3"/>
        <v>0</v>
      </c>
      <c r="H28" s="28">
        <f t="shared" si="3"/>
        <v>0</v>
      </c>
      <c r="I28" s="28">
        <f t="shared" si="3"/>
        <v>0</v>
      </c>
      <c r="J28" s="28">
        <f t="shared" si="3"/>
        <v>0</v>
      </c>
      <c r="K28" s="28">
        <f t="shared" si="3"/>
        <v>0</v>
      </c>
      <c r="L28" s="28">
        <f t="shared" si="3"/>
        <v>0</v>
      </c>
      <c r="M28" s="28">
        <f t="shared" si="3"/>
        <v>0</v>
      </c>
      <c r="N28" s="28">
        <f t="shared" si="3"/>
        <v>0</v>
      </c>
      <c r="O28" s="28">
        <f t="shared" si="3"/>
        <v>0</v>
      </c>
      <c r="P28" s="28">
        <f t="shared" si="3"/>
        <v>0</v>
      </c>
      <c r="Q28" s="28">
        <f t="shared" si="3"/>
        <v>0</v>
      </c>
      <c r="R28" s="28">
        <f t="shared" si="3"/>
        <v>0</v>
      </c>
      <c r="S28" s="28">
        <f t="shared" si="3"/>
        <v>0</v>
      </c>
    </row>
    <row r="29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>
      <c r="A31" s="22" t="s">
        <v>123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>
      <c r="A32" s="27" t="s">
        <v>124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>
      <c r="A33" s="26" t="s">
        <v>125</v>
      </c>
      <c r="B33" s="23">
        <f>'Balance Sheet'!C42-'Balance Sheet'!B42</f>
        <v>0</v>
      </c>
      <c r="C33" s="23">
        <f>'Balance Sheet'!D42-'Balance Sheet'!C42</f>
        <v>0</v>
      </c>
      <c r="D33" s="23">
        <f>'Balance Sheet'!E42-'Balance Sheet'!D42</f>
        <v>0</v>
      </c>
      <c r="E33" s="23">
        <f>'Balance Sheet'!F42-'Balance Sheet'!E42</f>
        <v>0</v>
      </c>
      <c r="F33" s="23">
        <f>'Balance Sheet'!G42-'Balance Sheet'!F42</f>
        <v>25000</v>
      </c>
      <c r="G33" s="23">
        <f>'Balance Sheet'!H42-'Balance Sheet'!G42</f>
        <v>-2000</v>
      </c>
      <c r="H33" s="23">
        <f>'Balance Sheet'!I42-'Balance Sheet'!H42</f>
        <v>-2000</v>
      </c>
      <c r="I33" s="23">
        <f>'Balance Sheet'!J42-'Balance Sheet'!I42</f>
        <v>-2000</v>
      </c>
      <c r="J33" s="23">
        <f>'Balance Sheet'!K42-'Balance Sheet'!J42</f>
        <v>-2000</v>
      </c>
      <c r="K33" s="23">
        <f>'Balance Sheet'!L42-'Balance Sheet'!K42</f>
        <v>-2000</v>
      </c>
      <c r="L33" s="23">
        <f>'Balance Sheet'!M42-'Balance Sheet'!L42</f>
        <v>-2000</v>
      </c>
      <c r="M33" s="23">
        <f>'Balance Sheet'!N42-'Balance Sheet'!M42</f>
        <v>-2000</v>
      </c>
      <c r="N33" s="23">
        <f>'Balance Sheet'!O42-'Balance Sheet'!N42</f>
        <v>-2000</v>
      </c>
      <c r="O33" s="23">
        <f>'Balance Sheet'!P42-'Balance Sheet'!O42</f>
        <v>-2000</v>
      </c>
      <c r="P33" s="23">
        <f>'Balance Sheet'!Q42-'Balance Sheet'!P42</f>
        <v>-2000</v>
      </c>
      <c r="Q33" s="23">
        <f>'Balance Sheet'!R42-'Balance Sheet'!Q42</f>
        <v>-2000</v>
      </c>
      <c r="R33" s="23">
        <f>'Balance Sheet'!S42-'Balance Sheet'!R42</f>
        <v>-2000</v>
      </c>
      <c r="S33" s="23">
        <f>'Balance Sheet'!T42-'Balance Sheet'!S42</f>
        <v>-1000</v>
      </c>
    </row>
    <row r="34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>
      <c r="A35" s="27" t="s">
        <v>126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>
      <c r="A36" s="26" t="s">
        <v>127</v>
      </c>
      <c r="B36" s="23">
        <f>'Balance Sheet'!C46-'Balance Sheet'!B46</f>
        <v>5000</v>
      </c>
      <c r="C36" s="23">
        <f>'Balance Sheet'!D46-'Balance Sheet'!C46</f>
        <v>0</v>
      </c>
      <c r="D36" s="23">
        <f>'Balance Sheet'!E46-'Balance Sheet'!D46</f>
        <v>0</v>
      </c>
      <c r="E36" s="23">
        <f>'Balance Sheet'!F46-'Balance Sheet'!E46</f>
        <v>13495</v>
      </c>
      <c r="F36" s="23">
        <f>'Balance Sheet'!G46-'Balance Sheet'!F46</f>
        <v>-27832.5</v>
      </c>
      <c r="G36" s="23">
        <f>'Balance Sheet'!H46-'Balance Sheet'!G46</f>
        <v>0</v>
      </c>
      <c r="H36" s="23">
        <f>'Balance Sheet'!I46-'Balance Sheet'!H46</f>
        <v>0</v>
      </c>
      <c r="I36" s="23">
        <f>'Balance Sheet'!J46-'Balance Sheet'!I46</f>
        <v>0</v>
      </c>
      <c r="J36" s="23">
        <f>'Balance Sheet'!K46-'Balance Sheet'!J46</f>
        <v>0</v>
      </c>
      <c r="K36" s="23">
        <f>'Balance Sheet'!L46-'Balance Sheet'!K46</f>
        <v>0</v>
      </c>
      <c r="L36" s="23">
        <f>'Balance Sheet'!M46-'Balance Sheet'!L46</f>
        <v>0</v>
      </c>
      <c r="M36" s="23">
        <f>'Balance Sheet'!N46-'Balance Sheet'!M46</f>
        <v>0</v>
      </c>
      <c r="N36" s="23">
        <f>'Balance Sheet'!O46-'Balance Sheet'!N46</f>
        <v>0</v>
      </c>
      <c r="O36" s="23">
        <f>'Balance Sheet'!P46-'Balance Sheet'!O46</f>
        <v>0</v>
      </c>
      <c r="P36" s="23">
        <f>'Balance Sheet'!Q46-'Balance Sheet'!P46</f>
        <v>0</v>
      </c>
      <c r="Q36" s="23">
        <f>'Balance Sheet'!R46-'Balance Sheet'!Q46</f>
        <v>0</v>
      </c>
      <c r="R36" s="23">
        <f>'Balance Sheet'!S46-'Balance Sheet'!R46</f>
        <v>0</v>
      </c>
      <c r="S36" s="23">
        <f>'Balance Sheet'!T46-'Balance Sheet'!S46</f>
        <v>0</v>
      </c>
    </row>
    <row r="37">
      <c r="A37" s="26" t="s">
        <v>128</v>
      </c>
      <c r="B37" s="23">
        <f>'Balance Sheet'!C47-'Balance Sheet'!B47</f>
        <v>0</v>
      </c>
      <c r="C37" s="23">
        <f>'Balance Sheet'!D47-'Balance Sheet'!C47</f>
        <v>0</v>
      </c>
      <c r="D37" s="23">
        <f>'Balance Sheet'!E47-'Balance Sheet'!D47</f>
        <v>0</v>
      </c>
      <c r="E37" s="23">
        <f>'Balance Sheet'!F47-'Balance Sheet'!E47</f>
        <v>0</v>
      </c>
      <c r="F37" s="23">
        <f>'Balance Sheet'!G47-'Balance Sheet'!F47</f>
        <v>0</v>
      </c>
      <c r="G37" s="23">
        <f>'Balance Sheet'!H47-'Balance Sheet'!G47</f>
        <v>0</v>
      </c>
      <c r="H37" s="23">
        <f>'Balance Sheet'!I47-'Balance Sheet'!H47</f>
        <v>0</v>
      </c>
      <c r="I37" s="23">
        <f>'Balance Sheet'!J47-'Balance Sheet'!I47</f>
        <v>0</v>
      </c>
      <c r="J37" s="23">
        <f>'Balance Sheet'!K47-'Balance Sheet'!J47</f>
        <v>0</v>
      </c>
      <c r="K37" s="23">
        <f>'Balance Sheet'!L47-'Balance Sheet'!K47</f>
        <v>0</v>
      </c>
      <c r="L37" s="23">
        <f>'Balance Sheet'!M47-'Balance Sheet'!L47</f>
        <v>0</v>
      </c>
      <c r="M37" s="23">
        <f>'Balance Sheet'!N47-'Balance Sheet'!M47</f>
        <v>0</v>
      </c>
      <c r="N37" s="23">
        <f>'Balance Sheet'!O47-'Balance Sheet'!N47</f>
        <v>0</v>
      </c>
      <c r="O37" s="23">
        <f>'Balance Sheet'!P47-'Balance Sheet'!O47</f>
        <v>0</v>
      </c>
      <c r="P37" s="23">
        <f>'Balance Sheet'!Q47-'Balance Sheet'!P47</f>
        <v>0</v>
      </c>
      <c r="Q37" s="23">
        <f>'Balance Sheet'!R47-'Balance Sheet'!Q47</f>
        <v>0</v>
      </c>
      <c r="R37" s="23">
        <f>'Balance Sheet'!S47-'Balance Sheet'!R47</f>
        <v>0</v>
      </c>
      <c r="S37" s="23">
        <f>'Balance Sheet'!T47-'Balance Sheet'!S47</f>
        <v>0</v>
      </c>
    </row>
    <row r="38">
      <c r="A38" s="7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>
      <c r="A39" s="22" t="s">
        <v>129</v>
      </c>
      <c r="B39" s="28">
        <f t="shared" ref="B39:S39" si="4">sum(B31:B38)</f>
        <v>5000</v>
      </c>
      <c r="C39" s="28">
        <f t="shared" si="4"/>
        <v>0</v>
      </c>
      <c r="D39" s="28">
        <f t="shared" si="4"/>
        <v>0</v>
      </c>
      <c r="E39" s="28">
        <f t="shared" si="4"/>
        <v>13495</v>
      </c>
      <c r="F39" s="28">
        <f t="shared" si="4"/>
        <v>-2832.5</v>
      </c>
      <c r="G39" s="28">
        <f t="shared" si="4"/>
        <v>-2000</v>
      </c>
      <c r="H39" s="28">
        <f t="shared" si="4"/>
        <v>-2000</v>
      </c>
      <c r="I39" s="28">
        <f t="shared" si="4"/>
        <v>-2000</v>
      </c>
      <c r="J39" s="28">
        <f t="shared" si="4"/>
        <v>-2000</v>
      </c>
      <c r="K39" s="28">
        <f t="shared" si="4"/>
        <v>-2000</v>
      </c>
      <c r="L39" s="28">
        <f t="shared" si="4"/>
        <v>-2000</v>
      </c>
      <c r="M39" s="28">
        <f t="shared" si="4"/>
        <v>-2000</v>
      </c>
      <c r="N39" s="28">
        <f t="shared" si="4"/>
        <v>-2000</v>
      </c>
      <c r="O39" s="28">
        <f t="shared" si="4"/>
        <v>-2000</v>
      </c>
      <c r="P39" s="28">
        <f t="shared" si="4"/>
        <v>-2000</v>
      </c>
      <c r="Q39" s="28">
        <f t="shared" si="4"/>
        <v>-2000</v>
      </c>
      <c r="R39" s="28">
        <f t="shared" si="4"/>
        <v>-2000</v>
      </c>
      <c r="S39" s="28">
        <f t="shared" si="4"/>
        <v>-1000</v>
      </c>
      <c r="T39" s="23"/>
      <c r="U39" s="23"/>
      <c r="V39" s="23"/>
      <c r="W39" s="23"/>
      <c r="X39" s="23"/>
      <c r="Y39" s="23"/>
      <c r="Z39" s="23"/>
    </row>
    <row r="40">
      <c r="A40" s="7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>
      <c r="A41" s="18" t="s">
        <v>130</v>
      </c>
      <c r="B41" s="23">
        <f t="shared" ref="B41:S41" si="5">sum(B20,B28,B39)</f>
        <v>5000</v>
      </c>
      <c r="C41" s="23">
        <f t="shared" si="5"/>
        <v>-125</v>
      </c>
      <c r="D41" s="23">
        <f t="shared" si="5"/>
        <v>-304.55</v>
      </c>
      <c r="E41" s="23">
        <f t="shared" si="5"/>
        <v>-249.05</v>
      </c>
      <c r="F41" s="23">
        <f t="shared" si="5"/>
        <v>-2320.4</v>
      </c>
      <c r="G41" s="23">
        <f t="shared" si="5"/>
        <v>869.5783333</v>
      </c>
      <c r="H41" s="23">
        <f t="shared" si="5"/>
        <v>-2135.046667</v>
      </c>
      <c r="I41" s="23">
        <f t="shared" si="5"/>
        <v>-1906.991667</v>
      </c>
      <c r="J41" s="23">
        <f t="shared" si="5"/>
        <v>-1808.656</v>
      </c>
      <c r="K41" s="23">
        <f t="shared" si="5"/>
        <v>-789.2232</v>
      </c>
      <c r="L41" s="23">
        <f t="shared" si="5"/>
        <v>-959.69984</v>
      </c>
      <c r="M41" s="23">
        <f t="shared" si="5"/>
        <v>-1319.923475</v>
      </c>
      <c r="N41" s="23">
        <f t="shared" si="5"/>
        <v>-756.8988363</v>
      </c>
      <c r="O41" s="23">
        <f t="shared" si="5"/>
        <v>-726.8802702</v>
      </c>
      <c r="P41" s="23">
        <f t="shared" si="5"/>
        <v>-710.5251242</v>
      </c>
      <c r="Q41" s="23">
        <f t="shared" si="5"/>
        <v>-694.7855091</v>
      </c>
      <c r="R41" s="23">
        <f t="shared" si="5"/>
        <v>-741.8026429</v>
      </c>
      <c r="S41" s="23">
        <f t="shared" si="5"/>
        <v>273.8215235</v>
      </c>
      <c r="T41" s="23"/>
      <c r="U41" s="23"/>
      <c r="V41" s="23"/>
      <c r="W41" s="23"/>
      <c r="X41" s="23"/>
      <c r="Y41" s="23"/>
      <c r="Z41" s="23"/>
    </row>
    <row r="42">
      <c r="A42" s="7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>
      <c r="A43" s="18" t="s">
        <v>131</v>
      </c>
      <c r="B43" s="29">
        <v>0.0</v>
      </c>
      <c r="C43" s="23">
        <f t="shared" ref="C43:S43" si="6">B44</f>
        <v>5000</v>
      </c>
      <c r="D43" s="23">
        <f t="shared" si="6"/>
        <v>4875</v>
      </c>
      <c r="E43" s="23">
        <f t="shared" si="6"/>
        <v>4570.45</v>
      </c>
      <c r="F43" s="23">
        <f t="shared" si="6"/>
        <v>4321.4</v>
      </c>
      <c r="G43" s="23">
        <f t="shared" si="6"/>
        <v>2001</v>
      </c>
      <c r="H43" s="23">
        <f t="shared" si="6"/>
        <v>2870.578333</v>
      </c>
      <c r="I43" s="23">
        <f t="shared" si="6"/>
        <v>735.5316667</v>
      </c>
      <c r="J43" s="23">
        <f t="shared" si="6"/>
        <v>-1171.46</v>
      </c>
      <c r="K43" s="23">
        <f t="shared" si="6"/>
        <v>-2980.116</v>
      </c>
      <c r="L43" s="23">
        <f t="shared" si="6"/>
        <v>-3769.3392</v>
      </c>
      <c r="M43" s="23">
        <f t="shared" si="6"/>
        <v>-4729.03904</v>
      </c>
      <c r="N43" s="23">
        <f t="shared" si="6"/>
        <v>-6048.962515</v>
      </c>
      <c r="O43" s="23">
        <f t="shared" si="6"/>
        <v>-6805.861351</v>
      </c>
      <c r="P43" s="23">
        <f t="shared" si="6"/>
        <v>-7532.741621</v>
      </c>
      <c r="Q43" s="23">
        <f t="shared" si="6"/>
        <v>-8243.266745</v>
      </c>
      <c r="R43" s="23">
        <f t="shared" si="6"/>
        <v>-8938.052254</v>
      </c>
      <c r="S43" s="23">
        <f t="shared" si="6"/>
        <v>-9679.854897</v>
      </c>
      <c r="T43" s="23"/>
      <c r="U43" s="23"/>
      <c r="V43" s="23"/>
      <c r="W43" s="23"/>
      <c r="X43" s="23"/>
      <c r="Y43" s="23"/>
      <c r="Z43" s="23"/>
    </row>
    <row r="44">
      <c r="A44" s="30" t="s">
        <v>132</v>
      </c>
      <c r="B44" s="31">
        <f t="shared" ref="B44:S44" si="7">B43+B41</f>
        <v>5000</v>
      </c>
      <c r="C44" s="31">
        <f t="shared" si="7"/>
        <v>4875</v>
      </c>
      <c r="D44" s="31">
        <f t="shared" si="7"/>
        <v>4570.45</v>
      </c>
      <c r="E44" s="31">
        <f t="shared" si="7"/>
        <v>4321.4</v>
      </c>
      <c r="F44" s="31">
        <f t="shared" si="7"/>
        <v>2001</v>
      </c>
      <c r="G44" s="31">
        <f t="shared" si="7"/>
        <v>2870.578333</v>
      </c>
      <c r="H44" s="31">
        <f t="shared" si="7"/>
        <v>735.5316667</v>
      </c>
      <c r="I44" s="31">
        <f t="shared" si="7"/>
        <v>-1171.46</v>
      </c>
      <c r="J44" s="31">
        <f t="shared" si="7"/>
        <v>-2980.116</v>
      </c>
      <c r="K44" s="31">
        <f t="shared" si="7"/>
        <v>-3769.3392</v>
      </c>
      <c r="L44" s="31">
        <f t="shared" si="7"/>
        <v>-4729.03904</v>
      </c>
      <c r="M44" s="31">
        <f t="shared" si="7"/>
        <v>-6048.962515</v>
      </c>
      <c r="N44" s="31">
        <f t="shared" si="7"/>
        <v>-6805.861351</v>
      </c>
      <c r="O44" s="31">
        <f t="shared" si="7"/>
        <v>-7532.741621</v>
      </c>
      <c r="P44" s="31">
        <f t="shared" si="7"/>
        <v>-8243.266745</v>
      </c>
      <c r="Q44" s="31">
        <f t="shared" si="7"/>
        <v>-8938.052254</v>
      </c>
      <c r="R44" s="31">
        <f t="shared" si="7"/>
        <v>-9679.854897</v>
      </c>
      <c r="S44" s="31">
        <f t="shared" si="7"/>
        <v>-9406.033374</v>
      </c>
      <c r="T44" s="31"/>
      <c r="U44" s="31"/>
      <c r="V44" s="31"/>
      <c r="W44" s="31"/>
      <c r="X44" s="31"/>
      <c r="Y44" s="31"/>
      <c r="Z44" s="31"/>
    </row>
    <row r="45">
      <c r="A45" s="7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>
      <c r="A46" s="18" t="s">
        <v>1</v>
      </c>
      <c r="B46" s="23">
        <f>'Balance Sheet'!C11</f>
        <v>5000</v>
      </c>
      <c r="C46" s="23">
        <f>'Balance Sheet'!D11</f>
        <v>4875</v>
      </c>
      <c r="D46" s="23">
        <f>'Balance Sheet'!E11</f>
        <v>4570.45</v>
      </c>
      <c r="E46" s="23">
        <f>'Balance Sheet'!F11</f>
        <v>4321.4</v>
      </c>
      <c r="F46" s="23">
        <f>'Balance Sheet'!G11</f>
        <v>2001</v>
      </c>
      <c r="G46" s="23">
        <f>'Balance Sheet'!H11</f>
        <v>2870.578333</v>
      </c>
      <c r="H46" s="23">
        <f>'Balance Sheet'!I11</f>
        <v>735.5316667</v>
      </c>
      <c r="I46" s="23">
        <f>'Balance Sheet'!J11</f>
        <v>-1171.46</v>
      </c>
      <c r="J46" s="23">
        <f>'Balance Sheet'!K11</f>
        <v>-2980.116</v>
      </c>
      <c r="K46" s="23">
        <f>'Balance Sheet'!L11</f>
        <v>-3769.3392</v>
      </c>
      <c r="L46" s="23">
        <f>'Balance Sheet'!M11</f>
        <v>-4729.03904</v>
      </c>
      <c r="M46" s="23">
        <f>'Balance Sheet'!N11</f>
        <v>-6048.962515</v>
      </c>
      <c r="N46" s="23">
        <f>'Balance Sheet'!O11</f>
        <v>-6805.861351</v>
      </c>
      <c r="O46" s="23">
        <f>'Balance Sheet'!P11</f>
        <v>-7532.741621</v>
      </c>
      <c r="P46" s="23">
        <f>'Balance Sheet'!Q11</f>
        <v>-8243.266745</v>
      </c>
      <c r="Q46" s="23">
        <f>'Balance Sheet'!R11</f>
        <v>-8938.052254</v>
      </c>
      <c r="R46" s="23">
        <f>'Balance Sheet'!S11</f>
        <v>-9679.854897</v>
      </c>
      <c r="S46" s="23">
        <f>'Balance Sheet'!T11</f>
        <v>-9406.033374</v>
      </c>
      <c r="T46" s="23"/>
      <c r="U46" s="23"/>
      <c r="V46" s="23"/>
      <c r="W46" s="23"/>
      <c r="X46" s="23"/>
      <c r="Y46" s="23"/>
      <c r="Z46" s="23"/>
    </row>
    <row r="47">
      <c r="A47" s="7"/>
      <c r="B47" s="23">
        <f t="shared" ref="B47:S47" si="8">B44-B46</f>
        <v>0</v>
      </c>
      <c r="C47" s="23">
        <f t="shared" si="8"/>
        <v>0</v>
      </c>
      <c r="D47" s="23">
        <f t="shared" si="8"/>
        <v>0</v>
      </c>
      <c r="E47" s="23">
        <f t="shared" si="8"/>
        <v>0</v>
      </c>
      <c r="F47" s="23">
        <f t="shared" si="8"/>
        <v>0</v>
      </c>
      <c r="G47" s="23">
        <f t="shared" si="8"/>
        <v>0</v>
      </c>
      <c r="H47" s="23">
        <f t="shared" si="8"/>
        <v>0</v>
      </c>
      <c r="I47" s="23">
        <f t="shared" si="8"/>
        <v>0</v>
      </c>
      <c r="J47" s="23">
        <f t="shared" si="8"/>
        <v>0</v>
      </c>
      <c r="K47" s="23">
        <f t="shared" si="8"/>
        <v>0</v>
      </c>
      <c r="L47" s="23">
        <f t="shared" si="8"/>
        <v>0</v>
      </c>
      <c r="M47" s="23">
        <f t="shared" si="8"/>
        <v>0</v>
      </c>
      <c r="N47" s="23">
        <f t="shared" si="8"/>
        <v>0</v>
      </c>
      <c r="O47" s="23">
        <f t="shared" si="8"/>
        <v>0</v>
      </c>
      <c r="P47" s="23">
        <f t="shared" si="8"/>
        <v>0</v>
      </c>
      <c r="Q47" s="23">
        <f t="shared" si="8"/>
        <v>0</v>
      </c>
      <c r="R47" s="23">
        <f t="shared" si="8"/>
        <v>0</v>
      </c>
      <c r="S47" s="23">
        <f t="shared" si="8"/>
        <v>0</v>
      </c>
    </row>
    <row r="48">
      <c r="A48" s="7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>
      <c r="A49" s="7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>
      <c r="A50" s="7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>
      <c r="A51" s="7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>
      <c r="A52" s="7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>
      <c r="A53" s="7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>
      <c r="A54" s="7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>
      <c r="A55" s="7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>
      <c r="A56" s="7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>
      <c r="A57" s="7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>
      <c r="A58" s="7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>
      <c r="A59" s="7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>
      <c r="A60" s="7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>
      <c r="A61" s="7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>
      <c r="A62" s="7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>
      <c r="A63" s="7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>
      <c r="A64" s="7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>
      <c r="A65" s="7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>
      <c r="A66" s="7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>
      <c r="A67" s="7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>
      <c r="A68" s="7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>
      <c r="A69" s="7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>
      <c r="A70" s="7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>
      <c r="A71" s="7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>
      <c r="A72" s="7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>
      <c r="A73" s="7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>
      <c r="A74" s="7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>
      <c r="A75" s="7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>
      <c r="A76" s="7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>
      <c r="A77" s="7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>
      <c r="A78" s="7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>
      <c r="A79" s="7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>
      <c r="A80" s="7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>
      <c r="A81" s="7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>
      <c r="A82" s="7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>
      <c r="A83" s="7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>
      <c r="A84" s="7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>
      <c r="A85" s="7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</row>
    <row r="86">
      <c r="A86" s="7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</row>
    <row r="87">
      <c r="A87" s="7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</row>
    <row r="88">
      <c r="A88" s="7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>
      <c r="A89" s="7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>
      <c r="A90" s="7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>
      <c r="A91" s="7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>
      <c r="A92" s="7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>
      <c r="A93" s="7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>
      <c r="A94" s="7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>
      <c r="A95" s="7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>
      <c r="A96" s="7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>
      <c r="A97" s="7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>
      <c r="A98" s="7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>
      <c r="A99" s="7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>
      <c r="A100" s="7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>
      <c r="A101" s="7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>
      <c r="A102" s="7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>
      <c r="A103" s="7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>
      <c r="A104" s="7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>
      <c r="A105" s="7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  <row r="106">
      <c r="A106" s="7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</row>
    <row r="107">
      <c r="A107" s="7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</row>
    <row r="108">
      <c r="A108" s="7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</row>
    <row r="109">
      <c r="A109" s="7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</row>
    <row r="110">
      <c r="A110" s="7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</row>
    <row r="111">
      <c r="A111" s="7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</row>
    <row r="112">
      <c r="A112" s="7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</row>
    <row r="113">
      <c r="A113" s="7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</row>
    <row r="114">
      <c r="A114" s="7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</row>
    <row r="115">
      <c r="A115" s="7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</row>
    <row r="116">
      <c r="A116" s="7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</row>
    <row r="117">
      <c r="A117" s="7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</row>
    <row r="118">
      <c r="A118" s="7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</row>
    <row r="119">
      <c r="A119" s="7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</row>
    <row r="120">
      <c r="A120" s="7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</row>
    <row r="121">
      <c r="A121" s="7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</row>
    <row r="122">
      <c r="A122" s="7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</row>
    <row r="123">
      <c r="A123" s="7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</row>
    <row r="124">
      <c r="A124" s="7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</row>
    <row r="125">
      <c r="A125" s="7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</row>
    <row r="126">
      <c r="A126" s="7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</row>
    <row r="127">
      <c r="A127" s="7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</row>
    <row r="128">
      <c r="A128" s="7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</row>
    <row r="129">
      <c r="A129" s="7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</row>
    <row r="130">
      <c r="A130" s="7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</row>
    <row r="131">
      <c r="A131" s="7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</row>
    <row r="132">
      <c r="A132" s="7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</row>
    <row r="133">
      <c r="A133" s="7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</row>
    <row r="134">
      <c r="A134" s="7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</row>
    <row r="135">
      <c r="A135" s="7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</row>
    <row r="136">
      <c r="A136" s="7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</row>
    <row r="137">
      <c r="A137" s="7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</row>
    <row r="138">
      <c r="A138" s="7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</row>
    <row r="139">
      <c r="A139" s="7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</row>
    <row r="140">
      <c r="A140" s="7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</row>
    <row r="141">
      <c r="A141" s="7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</row>
    <row r="142">
      <c r="A142" s="7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</row>
    <row r="143">
      <c r="A143" s="7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</row>
    <row r="144">
      <c r="A144" s="7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</row>
    <row r="145">
      <c r="A145" s="7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</row>
    <row r="146">
      <c r="A146" s="7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</row>
    <row r="147">
      <c r="A147" s="7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</row>
    <row r="148">
      <c r="A148" s="7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</row>
    <row r="149">
      <c r="A149" s="7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</row>
    <row r="150">
      <c r="A150" s="7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</row>
    <row r="151">
      <c r="A151" s="7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</row>
    <row r="152">
      <c r="A152" s="7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</row>
    <row r="153">
      <c r="A153" s="7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</row>
    <row r="154">
      <c r="A154" s="7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</row>
    <row r="155">
      <c r="A155" s="7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</row>
    <row r="156">
      <c r="A156" s="7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</row>
    <row r="157">
      <c r="A157" s="7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</row>
    <row r="158">
      <c r="A158" s="7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</row>
    <row r="159">
      <c r="A159" s="7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</row>
    <row r="160">
      <c r="A160" s="7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</row>
    <row r="161">
      <c r="A161" s="7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</row>
    <row r="162">
      <c r="A162" s="7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</row>
    <row r="163">
      <c r="A163" s="7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</row>
    <row r="164">
      <c r="A164" s="7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</row>
    <row r="165">
      <c r="A165" s="7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</row>
    <row r="166">
      <c r="A166" s="7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</row>
    <row r="167">
      <c r="A167" s="7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</row>
    <row r="168">
      <c r="A168" s="7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</row>
    <row r="169">
      <c r="A169" s="7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</row>
    <row r="170">
      <c r="A170" s="7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</row>
    <row r="171">
      <c r="A171" s="7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</row>
    <row r="172">
      <c r="A172" s="7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</row>
    <row r="173">
      <c r="A173" s="7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</row>
    <row r="174">
      <c r="A174" s="7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</row>
    <row r="175">
      <c r="A175" s="7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</row>
    <row r="176">
      <c r="A176" s="7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</row>
    <row r="177">
      <c r="A177" s="7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</row>
    <row r="178">
      <c r="A178" s="7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</row>
    <row r="179">
      <c r="A179" s="7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</row>
    <row r="180">
      <c r="A180" s="7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</row>
    <row r="181">
      <c r="A181" s="7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</row>
    <row r="182">
      <c r="A182" s="7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</row>
    <row r="183">
      <c r="A183" s="7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</row>
    <row r="184">
      <c r="A184" s="7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</row>
    <row r="185">
      <c r="A185" s="7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</row>
    <row r="186">
      <c r="A186" s="7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</row>
    <row r="187">
      <c r="A187" s="7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</row>
    <row r="188">
      <c r="A188" s="7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</row>
    <row r="189">
      <c r="A189" s="7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</row>
    <row r="190">
      <c r="A190" s="7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</row>
    <row r="191">
      <c r="A191" s="7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</row>
    <row r="192">
      <c r="A192" s="7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</row>
    <row r="193">
      <c r="A193" s="7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</row>
    <row r="194">
      <c r="A194" s="7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</row>
    <row r="195">
      <c r="A195" s="7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</row>
    <row r="196">
      <c r="A196" s="7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</row>
    <row r="197">
      <c r="A197" s="7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</row>
    <row r="198">
      <c r="A198" s="7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</row>
    <row r="199">
      <c r="A199" s="7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</row>
    <row r="200">
      <c r="A200" s="7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</row>
    <row r="201">
      <c r="A201" s="7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</row>
    <row r="202">
      <c r="A202" s="7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</row>
    <row r="203">
      <c r="A203" s="7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</row>
    <row r="204">
      <c r="A204" s="7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</row>
    <row r="205">
      <c r="A205" s="7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</row>
    <row r="206">
      <c r="A206" s="7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</row>
    <row r="207">
      <c r="A207" s="7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</row>
    <row r="208">
      <c r="A208" s="7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</row>
    <row r="209">
      <c r="A209" s="7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</row>
    <row r="210">
      <c r="A210" s="7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</row>
    <row r="211">
      <c r="A211" s="7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</row>
    <row r="212">
      <c r="A212" s="7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</row>
    <row r="213">
      <c r="A213" s="7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</row>
    <row r="214">
      <c r="A214" s="7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</row>
    <row r="215">
      <c r="A215" s="7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</row>
    <row r="216">
      <c r="A216" s="7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</row>
    <row r="217">
      <c r="A217" s="7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</row>
    <row r="218">
      <c r="A218" s="7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</row>
    <row r="219">
      <c r="A219" s="7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</row>
    <row r="220">
      <c r="A220" s="7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</row>
    <row r="221">
      <c r="A221" s="7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</row>
    <row r="222">
      <c r="A222" s="7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</row>
    <row r="223">
      <c r="A223" s="7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</row>
    <row r="224">
      <c r="A224" s="7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</row>
    <row r="225">
      <c r="A225" s="7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</row>
    <row r="226">
      <c r="A226" s="7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</row>
    <row r="227">
      <c r="A227" s="7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</row>
    <row r="228">
      <c r="A228" s="7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</row>
    <row r="229">
      <c r="A229" s="7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</row>
    <row r="230">
      <c r="A230" s="7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</row>
    <row r="231">
      <c r="A231" s="7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</row>
    <row r="232">
      <c r="A232" s="7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</row>
    <row r="233">
      <c r="A233" s="7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</row>
    <row r="234">
      <c r="A234" s="7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</row>
    <row r="235">
      <c r="A235" s="7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</row>
    <row r="236">
      <c r="A236" s="7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</row>
    <row r="237">
      <c r="A237" s="7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</row>
    <row r="238">
      <c r="A238" s="7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</row>
    <row r="239">
      <c r="A239" s="7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</row>
    <row r="240">
      <c r="A240" s="7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</row>
    <row r="241">
      <c r="A241" s="7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</row>
    <row r="242">
      <c r="A242" s="7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</row>
    <row r="243">
      <c r="A243" s="7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</row>
    <row r="244">
      <c r="A244" s="7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</row>
    <row r="245">
      <c r="A245" s="7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</row>
    <row r="246">
      <c r="A246" s="7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</row>
    <row r="247">
      <c r="A247" s="7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</row>
    <row r="248">
      <c r="A248" s="7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</row>
    <row r="249">
      <c r="A249" s="7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</row>
    <row r="250">
      <c r="A250" s="7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</row>
    <row r="251">
      <c r="A251" s="7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</row>
    <row r="252">
      <c r="A252" s="7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</row>
    <row r="253">
      <c r="A253" s="7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</row>
    <row r="254">
      <c r="A254" s="7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</row>
    <row r="255">
      <c r="A255" s="7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</row>
    <row r="256">
      <c r="A256" s="7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</row>
    <row r="257">
      <c r="A257" s="7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</row>
    <row r="258">
      <c r="A258" s="7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</row>
    <row r="259">
      <c r="A259" s="7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</row>
    <row r="260">
      <c r="A260" s="7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</row>
    <row r="261">
      <c r="A261" s="7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</row>
    <row r="262">
      <c r="A262" s="7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</row>
    <row r="263">
      <c r="A263" s="7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</row>
    <row r="264">
      <c r="A264" s="7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</row>
    <row r="265">
      <c r="A265" s="7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</row>
    <row r="266">
      <c r="A266" s="7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</row>
    <row r="267">
      <c r="A267" s="7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</row>
    <row r="268">
      <c r="A268" s="7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</row>
    <row r="269">
      <c r="A269" s="7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</row>
    <row r="270">
      <c r="A270" s="7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</row>
    <row r="271">
      <c r="A271" s="7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</row>
    <row r="272">
      <c r="A272" s="7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</row>
    <row r="273">
      <c r="A273" s="7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</row>
    <row r="274">
      <c r="A274" s="7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</row>
    <row r="275">
      <c r="A275" s="7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</row>
    <row r="276">
      <c r="A276" s="7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</row>
    <row r="277">
      <c r="A277" s="7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</row>
    <row r="278">
      <c r="A278" s="7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</row>
    <row r="279">
      <c r="A279" s="7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</row>
    <row r="280">
      <c r="A280" s="7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</row>
    <row r="281">
      <c r="A281" s="7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</row>
    <row r="282">
      <c r="A282" s="7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</row>
    <row r="283">
      <c r="A283" s="7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</row>
    <row r="284">
      <c r="A284" s="7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</row>
    <row r="285">
      <c r="A285" s="7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</row>
    <row r="286">
      <c r="A286" s="7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</row>
    <row r="287">
      <c r="A287" s="7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</row>
    <row r="288">
      <c r="A288" s="7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</row>
    <row r="289">
      <c r="A289" s="7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</row>
    <row r="290">
      <c r="A290" s="7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</row>
    <row r="291">
      <c r="A291" s="7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</row>
    <row r="292">
      <c r="A292" s="7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</row>
    <row r="293">
      <c r="A293" s="7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</row>
    <row r="294">
      <c r="A294" s="7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</row>
    <row r="295">
      <c r="A295" s="7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</row>
    <row r="296">
      <c r="A296" s="7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</row>
    <row r="297">
      <c r="A297" s="7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</row>
    <row r="298">
      <c r="A298" s="7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</row>
    <row r="299">
      <c r="A299" s="7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</row>
    <row r="300">
      <c r="A300" s="7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</row>
    <row r="301">
      <c r="A301" s="7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</row>
    <row r="302">
      <c r="A302" s="7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</row>
    <row r="303">
      <c r="A303" s="7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</row>
    <row r="304">
      <c r="A304" s="7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</row>
    <row r="305">
      <c r="A305" s="7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</row>
    <row r="306">
      <c r="A306" s="7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</row>
    <row r="307">
      <c r="A307" s="7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</row>
    <row r="308">
      <c r="A308" s="7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</row>
    <row r="309">
      <c r="A309" s="7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</row>
    <row r="310">
      <c r="A310" s="7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</row>
    <row r="311">
      <c r="A311" s="7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</row>
    <row r="312">
      <c r="A312" s="7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</row>
    <row r="313">
      <c r="A313" s="7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</row>
    <row r="314">
      <c r="A314" s="7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</row>
    <row r="315">
      <c r="A315" s="7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</row>
    <row r="316">
      <c r="A316" s="7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</row>
    <row r="317">
      <c r="A317" s="7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</row>
    <row r="318">
      <c r="A318" s="7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</row>
    <row r="319">
      <c r="A319" s="7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</row>
    <row r="320">
      <c r="A320" s="7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</row>
    <row r="321">
      <c r="A321" s="7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</row>
    <row r="322">
      <c r="A322" s="7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</row>
    <row r="323">
      <c r="A323" s="7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</row>
    <row r="324">
      <c r="A324" s="7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</row>
    <row r="325">
      <c r="A325" s="7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</row>
    <row r="326">
      <c r="A326" s="7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</row>
    <row r="327">
      <c r="A327" s="7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</row>
    <row r="328">
      <c r="A328" s="7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</row>
    <row r="329">
      <c r="A329" s="7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</row>
    <row r="330">
      <c r="A330" s="7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</row>
    <row r="331">
      <c r="A331" s="7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</row>
    <row r="332">
      <c r="A332" s="7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</row>
    <row r="333">
      <c r="A333" s="7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</row>
    <row r="334">
      <c r="A334" s="7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</row>
    <row r="335">
      <c r="A335" s="7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</row>
    <row r="336">
      <c r="A336" s="7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</row>
    <row r="337">
      <c r="A337" s="7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</row>
    <row r="338">
      <c r="A338" s="7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</row>
    <row r="339">
      <c r="A339" s="7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</row>
    <row r="340">
      <c r="A340" s="7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</row>
    <row r="341">
      <c r="A341" s="7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</row>
    <row r="342">
      <c r="A342" s="7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</row>
    <row r="343">
      <c r="A343" s="7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</row>
    <row r="344">
      <c r="A344" s="7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</row>
    <row r="345">
      <c r="A345" s="7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</row>
    <row r="346">
      <c r="A346" s="7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</row>
    <row r="347">
      <c r="A347" s="7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</row>
    <row r="348">
      <c r="A348" s="7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</row>
    <row r="349">
      <c r="A349" s="7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</row>
    <row r="350">
      <c r="A350" s="7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</row>
    <row r="351">
      <c r="A351" s="7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</row>
    <row r="352">
      <c r="A352" s="7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</row>
    <row r="353">
      <c r="A353" s="7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</row>
    <row r="354">
      <c r="A354" s="7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</row>
    <row r="355">
      <c r="A355" s="7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</row>
    <row r="356">
      <c r="A356" s="7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</row>
    <row r="357">
      <c r="A357" s="7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</row>
    <row r="358">
      <c r="A358" s="7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</row>
    <row r="359">
      <c r="A359" s="7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</row>
    <row r="360">
      <c r="A360" s="7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</row>
    <row r="361">
      <c r="A361" s="7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</row>
    <row r="362">
      <c r="A362" s="7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</row>
    <row r="363">
      <c r="A363" s="7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</row>
    <row r="364">
      <c r="A364" s="7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</row>
    <row r="365">
      <c r="A365" s="7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</row>
    <row r="366">
      <c r="A366" s="7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</row>
    <row r="367">
      <c r="A367" s="7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</row>
    <row r="368">
      <c r="A368" s="7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</row>
    <row r="369">
      <c r="A369" s="7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</row>
    <row r="370">
      <c r="A370" s="7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</row>
    <row r="371">
      <c r="A371" s="7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</row>
    <row r="372">
      <c r="A372" s="7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</row>
    <row r="373">
      <c r="A373" s="7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</row>
    <row r="374">
      <c r="A374" s="7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</row>
    <row r="375">
      <c r="A375" s="7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</row>
    <row r="376">
      <c r="A376" s="7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</row>
    <row r="377">
      <c r="A377" s="7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</row>
    <row r="378">
      <c r="A378" s="7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</row>
    <row r="379">
      <c r="A379" s="7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</row>
    <row r="380">
      <c r="A380" s="7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</row>
    <row r="381">
      <c r="A381" s="7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</row>
    <row r="382">
      <c r="A382" s="7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</row>
    <row r="383">
      <c r="A383" s="7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</row>
    <row r="384">
      <c r="A384" s="7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</row>
    <row r="385">
      <c r="A385" s="7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</row>
    <row r="386">
      <c r="A386" s="7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</row>
    <row r="387">
      <c r="A387" s="7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</row>
    <row r="388">
      <c r="A388" s="7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</row>
    <row r="389">
      <c r="A389" s="7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</row>
    <row r="390">
      <c r="A390" s="7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</row>
    <row r="391">
      <c r="A391" s="7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</row>
    <row r="392">
      <c r="A392" s="7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</row>
    <row r="393">
      <c r="A393" s="7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</row>
    <row r="394">
      <c r="A394" s="7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</row>
    <row r="395">
      <c r="A395" s="7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</row>
    <row r="396">
      <c r="A396" s="7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</row>
    <row r="397">
      <c r="A397" s="7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</row>
    <row r="398">
      <c r="A398" s="7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</row>
    <row r="399">
      <c r="A399" s="7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</row>
    <row r="400">
      <c r="A400" s="7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</row>
    <row r="401">
      <c r="A401" s="7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</row>
    <row r="402">
      <c r="A402" s="7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</row>
    <row r="403">
      <c r="A403" s="7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</row>
    <row r="404">
      <c r="A404" s="7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</row>
    <row r="405">
      <c r="A405" s="7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</row>
    <row r="406">
      <c r="A406" s="7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</row>
    <row r="407">
      <c r="A407" s="7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</row>
    <row r="408">
      <c r="A408" s="7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</row>
    <row r="409">
      <c r="A409" s="7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</row>
    <row r="410">
      <c r="A410" s="7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</row>
    <row r="411">
      <c r="A411" s="7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</row>
    <row r="412">
      <c r="A412" s="7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</row>
    <row r="413">
      <c r="A413" s="7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</row>
    <row r="414">
      <c r="A414" s="7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</row>
    <row r="415">
      <c r="A415" s="7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</row>
    <row r="416">
      <c r="A416" s="7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</row>
    <row r="417">
      <c r="A417" s="7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</row>
    <row r="418">
      <c r="A418" s="7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</row>
    <row r="419">
      <c r="A419" s="7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</row>
    <row r="420">
      <c r="A420" s="7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</row>
    <row r="421">
      <c r="A421" s="7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</row>
    <row r="422">
      <c r="A422" s="7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</row>
    <row r="423">
      <c r="A423" s="7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</row>
    <row r="424">
      <c r="A424" s="7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</row>
    <row r="425">
      <c r="A425" s="7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</row>
    <row r="426">
      <c r="A426" s="7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</row>
    <row r="427">
      <c r="A427" s="7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</row>
    <row r="428">
      <c r="A428" s="7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</row>
    <row r="429">
      <c r="A429" s="7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</row>
    <row r="430">
      <c r="A430" s="7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</row>
    <row r="431">
      <c r="A431" s="7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</row>
    <row r="432">
      <c r="A432" s="7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</row>
    <row r="433">
      <c r="A433" s="7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</row>
    <row r="434">
      <c r="A434" s="7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</row>
    <row r="435">
      <c r="A435" s="7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</row>
    <row r="436">
      <c r="A436" s="7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</row>
    <row r="437">
      <c r="A437" s="7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</row>
    <row r="438">
      <c r="A438" s="7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</row>
    <row r="439">
      <c r="A439" s="7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</row>
    <row r="440">
      <c r="A440" s="7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</row>
    <row r="441">
      <c r="A441" s="7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</row>
    <row r="442">
      <c r="A442" s="7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</row>
    <row r="443">
      <c r="A443" s="7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</row>
    <row r="444">
      <c r="A444" s="7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</row>
    <row r="445">
      <c r="A445" s="7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</row>
    <row r="446">
      <c r="A446" s="7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</row>
    <row r="447">
      <c r="A447" s="7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</row>
    <row r="448">
      <c r="A448" s="7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</row>
    <row r="449">
      <c r="A449" s="7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</row>
    <row r="450">
      <c r="A450" s="7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</row>
    <row r="451">
      <c r="A451" s="7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</row>
    <row r="452">
      <c r="A452" s="7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</row>
    <row r="453">
      <c r="A453" s="7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</row>
    <row r="454">
      <c r="A454" s="7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</row>
    <row r="455">
      <c r="A455" s="7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</row>
    <row r="456">
      <c r="A456" s="7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</row>
    <row r="457">
      <c r="A457" s="7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</row>
    <row r="458">
      <c r="A458" s="7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</row>
    <row r="459">
      <c r="A459" s="7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</row>
    <row r="460">
      <c r="A460" s="7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</row>
    <row r="461">
      <c r="A461" s="7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</row>
    <row r="462">
      <c r="A462" s="7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</row>
    <row r="463">
      <c r="A463" s="7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</row>
    <row r="464">
      <c r="A464" s="7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</row>
    <row r="465">
      <c r="A465" s="7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</row>
    <row r="466">
      <c r="A466" s="7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</row>
    <row r="467">
      <c r="A467" s="7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</row>
    <row r="468">
      <c r="A468" s="7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</row>
    <row r="469">
      <c r="A469" s="7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</row>
    <row r="470">
      <c r="A470" s="7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</row>
    <row r="471">
      <c r="A471" s="7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</row>
    <row r="472">
      <c r="A472" s="7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</row>
    <row r="473">
      <c r="A473" s="7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</row>
    <row r="474">
      <c r="A474" s="7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</row>
    <row r="475">
      <c r="A475" s="7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</row>
    <row r="476">
      <c r="A476" s="7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</row>
    <row r="477">
      <c r="A477" s="7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</row>
    <row r="478">
      <c r="A478" s="7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</row>
    <row r="479">
      <c r="A479" s="7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</row>
    <row r="480">
      <c r="A480" s="7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</row>
    <row r="481">
      <c r="A481" s="7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</row>
    <row r="482">
      <c r="A482" s="7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</row>
    <row r="483">
      <c r="A483" s="7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</row>
    <row r="484">
      <c r="A484" s="7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</row>
    <row r="485">
      <c r="A485" s="7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</row>
    <row r="486">
      <c r="A486" s="7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</row>
    <row r="487">
      <c r="A487" s="7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</row>
    <row r="488">
      <c r="A488" s="7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</row>
    <row r="489">
      <c r="A489" s="7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</row>
    <row r="490">
      <c r="A490" s="7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</row>
    <row r="491">
      <c r="A491" s="7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</row>
    <row r="492">
      <c r="A492" s="7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</row>
    <row r="493">
      <c r="A493" s="7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</row>
    <row r="494">
      <c r="A494" s="7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</row>
    <row r="495">
      <c r="A495" s="7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</row>
    <row r="496">
      <c r="A496" s="7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</row>
    <row r="497">
      <c r="A497" s="7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</row>
    <row r="498">
      <c r="A498" s="7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</row>
    <row r="499">
      <c r="A499" s="7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</row>
    <row r="500">
      <c r="A500" s="7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</row>
    <row r="501">
      <c r="A501" s="7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</row>
    <row r="502">
      <c r="A502" s="7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</row>
    <row r="503">
      <c r="A503" s="7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</row>
    <row r="504">
      <c r="A504" s="7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</row>
    <row r="505">
      <c r="A505" s="7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</row>
    <row r="506">
      <c r="A506" s="7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</row>
    <row r="507">
      <c r="A507" s="7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</row>
    <row r="508">
      <c r="A508" s="7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</row>
    <row r="509">
      <c r="A509" s="7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</row>
    <row r="510">
      <c r="A510" s="7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</row>
    <row r="511">
      <c r="A511" s="7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</row>
    <row r="512">
      <c r="A512" s="7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</row>
    <row r="513">
      <c r="A513" s="7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</row>
    <row r="514">
      <c r="A514" s="7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</row>
    <row r="515">
      <c r="A515" s="7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</row>
    <row r="516">
      <c r="A516" s="7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</row>
    <row r="517">
      <c r="A517" s="7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</row>
    <row r="518">
      <c r="A518" s="7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</row>
    <row r="519">
      <c r="A519" s="7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</row>
    <row r="520">
      <c r="A520" s="7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</row>
    <row r="521">
      <c r="A521" s="7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</row>
    <row r="522">
      <c r="A522" s="7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</row>
    <row r="523">
      <c r="A523" s="7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</row>
    <row r="524">
      <c r="A524" s="7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</row>
    <row r="525">
      <c r="A525" s="7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</row>
    <row r="526">
      <c r="A526" s="7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</row>
    <row r="527">
      <c r="A527" s="7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</row>
    <row r="528">
      <c r="A528" s="7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</row>
    <row r="529">
      <c r="A529" s="7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</row>
    <row r="530">
      <c r="A530" s="7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</row>
    <row r="531">
      <c r="A531" s="7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</row>
    <row r="532">
      <c r="A532" s="7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</row>
    <row r="533">
      <c r="A533" s="7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</row>
    <row r="534">
      <c r="A534" s="7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</row>
    <row r="535">
      <c r="A535" s="7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</row>
    <row r="536">
      <c r="A536" s="7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</row>
    <row r="537">
      <c r="A537" s="7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</row>
    <row r="538">
      <c r="A538" s="7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</row>
    <row r="539">
      <c r="A539" s="7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</row>
    <row r="540">
      <c r="A540" s="7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</row>
    <row r="541">
      <c r="A541" s="7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</row>
    <row r="542">
      <c r="A542" s="7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</row>
    <row r="543">
      <c r="A543" s="7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</row>
    <row r="544">
      <c r="A544" s="7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</row>
    <row r="545">
      <c r="A545" s="7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</row>
    <row r="546">
      <c r="A546" s="7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</row>
    <row r="547">
      <c r="A547" s="7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</row>
    <row r="548">
      <c r="A548" s="7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</row>
    <row r="549">
      <c r="A549" s="7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</row>
    <row r="550">
      <c r="A550" s="7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</row>
    <row r="551">
      <c r="A551" s="7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</row>
    <row r="552">
      <c r="A552" s="7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</row>
    <row r="553">
      <c r="A553" s="7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</row>
    <row r="554">
      <c r="A554" s="7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</row>
    <row r="555">
      <c r="A555" s="7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</row>
    <row r="556">
      <c r="A556" s="7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</row>
    <row r="557">
      <c r="A557" s="7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</row>
    <row r="558">
      <c r="A558" s="7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</row>
    <row r="559">
      <c r="A559" s="7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</row>
    <row r="560">
      <c r="A560" s="7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</row>
    <row r="561">
      <c r="A561" s="7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</row>
    <row r="562">
      <c r="A562" s="7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</row>
    <row r="563">
      <c r="A563" s="7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</row>
    <row r="564">
      <c r="A564" s="7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</row>
    <row r="565">
      <c r="A565" s="7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</row>
    <row r="566">
      <c r="A566" s="7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</row>
    <row r="567">
      <c r="A567" s="7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</row>
    <row r="568">
      <c r="A568" s="7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</row>
    <row r="569">
      <c r="A569" s="7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</row>
    <row r="570">
      <c r="A570" s="7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</row>
    <row r="571">
      <c r="A571" s="7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</row>
    <row r="572">
      <c r="A572" s="7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</row>
    <row r="573">
      <c r="A573" s="7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</row>
    <row r="574">
      <c r="A574" s="7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</row>
    <row r="575">
      <c r="A575" s="7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</row>
    <row r="576">
      <c r="A576" s="7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</row>
    <row r="577">
      <c r="A577" s="7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</row>
    <row r="578">
      <c r="A578" s="7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</row>
    <row r="579">
      <c r="A579" s="7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</row>
    <row r="580">
      <c r="A580" s="7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</row>
    <row r="581">
      <c r="A581" s="7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</row>
    <row r="582">
      <c r="A582" s="7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</row>
    <row r="583">
      <c r="A583" s="7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</row>
    <row r="584">
      <c r="A584" s="7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</row>
    <row r="585">
      <c r="A585" s="7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</row>
    <row r="586">
      <c r="A586" s="7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</row>
    <row r="587">
      <c r="A587" s="7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</row>
    <row r="588">
      <c r="A588" s="7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</row>
    <row r="589">
      <c r="A589" s="7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</row>
    <row r="590">
      <c r="A590" s="7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</row>
    <row r="591">
      <c r="A591" s="7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</row>
    <row r="592">
      <c r="A592" s="7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</row>
    <row r="593">
      <c r="A593" s="7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</row>
    <row r="594">
      <c r="A594" s="7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</row>
    <row r="595">
      <c r="A595" s="7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</row>
    <row r="596">
      <c r="A596" s="7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</row>
    <row r="597">
      <c r="A597" s="7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</row>
    <row r="598">
      <c r="A598" s="7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</row>
    <row r="599">
      <c r="A599" s="7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</row>
    <row r="600">
      <c r="A600" s="7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</row>
    <row r="601">
      <c r="A601" s="7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</row>
    <row r="602">
      <c r="A602" s="7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</row>
    <row r="603">
      <c r="A603" s="7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</row>
    <row r="604">
      <c r="A604" s="7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</row>
    <row r="605">
      <c r="A605" s="7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</row>
    <row r="606">
      <c r="A606" s="7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</row>
    <row r="607">
      <c r="A607" s="7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</row>
    <row r="608">
      <c r="A608" s="7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</row>
    <row r="609">
      <c r="A609" s="7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</row>
    <row r="610">
      <c r="A610" s="7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</row>
    <row r="611">
      <c r="A611" s="7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</row>
    <row r="612">
      <c r="A612" s="7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</row>
    <row r="613">
      <c r="A613" s="7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</row>
    <row r="614">
      <c r="A614" s="7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</row>
    <row r="615">
      <c r="A615" s="7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</row>
    <row r="616">
      <c r="A616" s="7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</row>
    <row r="617">
      <c r="A617" s="7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</row>
    <row r="618">
      <c r="A618" s="7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</row>
    <row r="619">
      <c r="A619" s="7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</row>
    <row r="620">
      <c r="A620" s="7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</row>
    <row r="621">
      <c r="A621" s="7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</row>
    <row r="622">
      <c r="A622" s="7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</row>
    <row r="623">
      <c r="A623" s="7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</row>
    <row r="624">
      <c r="A624" s="7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</row>
    <row r="625">
      <c r="A625" s="7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</row>
    <row r="626">
      <c r="A626" s="7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</row>
    <row r="627">
      <c r="A627" s="7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</row>
    <row r="628">
      <c r="A628" s="7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</row>
    <row r="629">
      <c r="A629" s="7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</row>
    <row r="630">
      <c r="A630" s="7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</row>
    <row r="631">
      <c r="A631" s="7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</row>
    <row r="632">
      <c r="A632" s="7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</row>
    <row r="633">
      <c r="A633" s="7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</row>
    <row r="634">
      <c r="A634" s="7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</row>
    <row r="635">
      <c r="A635" s="7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</row>
    <row r="636">
      <c r="A636" s="7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</row>
    <row r="637">
      <c r="A637" s="7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</row>
    <row r="638">
      <c r="A638" s="7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</row>
    <row r="639">
      <c r="A639" s="7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</row>
    <row r="640">
      <c r="A640" s="7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</row>
    <row r="641">
      <c r="A641" s="7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</row>
    <row r="642">
      <c r="A642" s="7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</row>
    <row r="643">
      <c r="A643" s="7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</row>
    <row r="644">
      <c r="A644" s="7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</row>
    <row r="645">
      <c r="A645" s="7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</row>
    <row r="646">
      <c r="A646" s="7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</row>
    <row r="647">
      <c r="A647" s="7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</row>
    <row r="648">
      <c r="A648" s="7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</row>
    <row r="649">
      <c r="A649" s="7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</row>
    <row r="650">
      <c r="A650" s="7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</row>
    <row r="651">
      <c r="A651" s="7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</row>
    <row r="652">
      <c r="A652" s="7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</row>
    <row r="653">
      <c r="A653" s="7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</row>
    <row r="654">
      <c r="A654" s="7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</row>
    <row r="655">
      <c r="A655" s="7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</row>
    <row r="656">
      <c r="A656" s="7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</row>
    <row r="657">
      <c r="A657" s="7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</row>
    <row r="658">
      <c r="A658" s="7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</row>
    <row r="659">
      <c r="A659" s="7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</row>
    <row r="660">
      <c r="A660" s="7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</row>
    <row r="661">
      <c r="A661" s="7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</row>
    <row r="662">
      <c r="A662" s="7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</row>
    <row r="663">
      <c r="A663" s="7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</row>
    <row r="664">
      <c r="A664" s="7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</row>
    <row r="665">
      <c r="A665" s="7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</row>
    <row r="666">
      <c r="A666" s="7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</row>
    <row r="667">
      <c r="A667" s="7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</row>
    <row r="668">
      <c r="A668" s="7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</row>
    <row r="669">
      <c r="A669" s="7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</row>
    <row r="670">
      <c r="A670" s="7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</row>
    <row r="671">
      <c r="A671" s="7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</row>
    <row r="672">
      <c r="A672" s="7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</row>
    <row r="673">
      <c r="A673" s="7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</row>
    <row r="674">
      <c r="A674" s="7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</row>
    <row r="675">
      <c r="A675" s="7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</row>
    <row r="676">
      <c r="A676" s="7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</row>
    <row r="677">
      <c r="A677" s="7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</row>
    <row r="678">
      <c r="A678" s="7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</row>
    <row r="679">
      <c r="A679" s="7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</row>
    <row r="680">
      <c r="A680" s="7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</row>
    <row r="681">
      <c r="A681" s="7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</row>
    <row r="682">
      <c r="A682" s="7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</row>
    <row r="683">
      <c r="A683" s="7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</row>
    <row r="684">
      <c r="A684" s="7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</row>
    <row r="685">
      <c r="A685" s="7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</row>
    <row r="686">
      <c r="A686" s="7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</row>
    <row r="687">
      <c r="A687" s="7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</row>
    <row r="688">
      <c r="A688" s="7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</row>
    <row r="689">
      <c r="A689" s="7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</row>
    <row r="690">
      <c r="A690" s="7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</row>
    <row r="691">
      <c r="A691" s="7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</row>
    <row r="692">
      <c r="A692" s="7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</row>
    <row r="693">
      <c r="A693" s="7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</row>
    <row r="694">
      <c r="A694" s="7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</row>
    <row r="695">
      <c r="A695" s="7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</row>
    <row r="696">
      <c r="A696" s="7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</row>
    <row r="697">
      <c r="A697" s="7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</row>
    <row r="698">
      <c r="A698" s="7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</row>
    <row r="699">
      <c r="A699" s="7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</row>
    <row r="700">
      <c r="A700" s="7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</row>
    <row r="701">
      <c r="A701" s="7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</row>
    <row r="702">
      <c r="A702" s="7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</row>
    <row r="703">
      <c r="A703" s="7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</row>
    <row r="704">
      <c r="A704" s="7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</row>
    <row r="705">
      <c r="A705" s="7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</row>
    <row r="706">
      <c r="A706" s="7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</row>
    <row r="707">
      <c r="A707" s="7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</row>
    <row r="708">
      <c r="A708" s="7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</row>
    <row r="709">
      <c r="A709" s="7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</row>
    <row r="710">
      <c r="A710" s="7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</row>
    <row r="711">
      <c r="A711" s="7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</row>
    <row r="712">
      <c r="A712" s="7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</row>
    <row r="713">
      <c r="A713" s="7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</row>
    <row r="714">
      <c r="A714" s="7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</row>
    <row r="715">
      <c r="A715" s="7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</row>
    <row r="716">
      <c r="A716" s="7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</row>
    <row r="717">
      <c r="A717" s="7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</row>
    <row r="718">
      <c r="A718" s="7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</row>
    <row r="719">
      <c r="A719" s="7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</row>
    <row r="720">
      <c r="A720" s="7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</row>
    <row r="721">
      <c r="A721" s="7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</row>
    <row r="722">
      <c r="A722" s="7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</row>
    <row r="723">
      <c r="A723" s="7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</row>
    <row r="724">
      <c r="A724" s="7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</row>
    <row r="725">
      <c r="A725" s="7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</row>
    <row r="726">
      <c r="A726" s="7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</row>
    <row r="727">
      <c r="A727" s="7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</row>
    <row r="728">
      <c r="A728" s="7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</row>
    <row r="729">
      <c r="A729" s="7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</row>
    <row r="730">
      <c r="A730" s="7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</row>
    <row r="731">
      <c r="A731" s="7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</row>
    <row r="732">
      <c r="A732" s="7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</row>
    <row r="733">
      <c r="A733" s="7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</row>
    <row r="734">
      <c r="A734" s="7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</row>
    <row r="735">
      <c r="A735" s="7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</row>
    <row r="736">
      <c r="A736" s="7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</row>
    <row r="737">
      <c r="A737" s="7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</row>
    <row r="738">
      <c r="A738" s="7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</row>
    <row r="739">
      <c r="A739" s="7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</row>
    <row r="740">
      <c r="A740" s="7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</row>
    <row r="741">
      <c r="A741" s="7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</row>
    <row r="742">
      <c r="A742" s="7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</row>
    <row r="743">
      <c r="A743" s="7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</row>
    <row r="744">
      <c r="A744" s="7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</row>
    <row r="745">
      <c r="A745" s="7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</row>
    <row r="746">
      <c r="A746" s="7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</row>
    <row r="747">
      <c r="A747" s="7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</row>
    <row r="748">
      <c r="A748" s="7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</row>
    <row r="749">
      <c r="A749" s="7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</row>
    <row r="750">
      <c r="A750" s="7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</row>
    <row r="751">
      <c r="A751" s="7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</row>
    <row r="752">
      <c r="A752" s="7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</row>
    <row r="753">
      <c r="A753" s="7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</row>
    <row r="754">
      <c r="A754" s="7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</row>
    <row r="755">
      <c r="A755" s="7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</row>
    <row r="756">
      <c r="A756" s="7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</row>
    <row r="757">
      <c r="A757" s="7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</row>
    <row r="758">
      <c r="A758" s="7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</row>
    <row r="759">
      <c r="A759" s="7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</row>
    <row r="760">
      <c r="A760" s="7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</row>
    <row r="761">
      <c r="A761" s="7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</row>
    <row r="762">
      <c r="A762" s="7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</row>
    <row r="763">
      <c r="A763" s="7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</row>
    <row r="764">
      <c r="A764" s="7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</row>
    <row r="765">
      <c r="A765" s="7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</row>
    <row r="766">
      <c r="A766" s="7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</row>
    <row r="767">
      <c r="A767" s="7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</row>
    <row r="768">
      <c r="A768" s="7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</row>
    <row r="769">
      <c r="A769" s="7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</row>
    <row r="770">
      <c r="A770" s="7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</row>
    <row r="771">
      <c r="A771" s="7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</row>
    <row r="772">
      <c r="A772" s="7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</row>
    <row r="773">
      <c r="A773" s="7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</row>
    <row r="774">
      <c r="A774" s="7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</row>
    <row r="775">
      <c r="A775" s="7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</row>
    <row r="776">
      <c r="A776" s="7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</row>
    <row r="777">
      <c r="A777" s="7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</row>
    <row r="778">
      <c r="A778" s="7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</row>
    <row r="779">
      <c r="A779" s="7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</row>
    <row r="780">
      <c r="A780" s="7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</row>
    <row r="781">
      <c r="A781" s="7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</row>
    <row r="782">
      <c r="A782" s="7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</row>
    <row r="783">
      <c r="A783" s="7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</row>
    <row r="784">
      <c r="A784" s="7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</row>
    <row r="785">
      <c r="A785" s="7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</row>
    <row r="786">
      <c r="A786" s="7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</row>
    <row r="787">
      <c r="A787" s="7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</row>
    <row r="788">
      <c r="A788" s="7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</row>
    <row r="789">
      <c r="A789" s="7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</row>
    <row r="790">
      <c r="A790" s="7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</row>
    <row r="791">
      <c r="A791" s="7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</row>
    <row r="792">
      <c r="A792" s="7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</row>
    <row r="793">
      <c r="A793" s="7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</row>
    <row r="794">
      <c r="A794" s="7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</row>
    <row r="795">
      <c r="A795" s="7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</row>
    <row r="796">
      <c r="A796" s="7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</row>
    <row r="797">
      <c r="A797" s="7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</row>
    <row r="798">
      <c r="A798" s="7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</row>
    <row r="799">
      <c r="A799" s="7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</row>
    <row r="800">
      <c r="A800" s="7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</row>
    <row r="801">
      <c r="A801" s="7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</row>
    <row r="802">
      <c r="A802" s="7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</row>
    <row r="803">
      <c r="A803" s="7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</row>
    <row r="804">
      <c r="A804" s="7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</row>
    <row r="805">
      <c r="A805" s="7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</row>
    <row r="806">
      <c r="A806" s="7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</row>
    <row r="807">
      <c r="A807" s="7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</row>
    <row r="808">
      <c r="A808" s="7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</row>
    <row r="809">
      <c r="A809" s="7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</row>
    <row r="810">
      <c r="A810" s="7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</row>
    <row r="811">
      <c r="A811" s="7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</row>
    <row r="812">
      <c r="A812" s="7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</row>
    <row r="813">
      <c r="A813" s="7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</row>
    <row r="814">
      <c r="A814" s="7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</row>
    <row r="815">
      <c r="A815" s="7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</row>
    <row r="816">
      <c r="A816" s="7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</row>
    <row r="817">
      <c r="A817" s="7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</row>
    <row r="818">
      <c r="A818" s="7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</row>
    <row r="819">
      <c r="A819" s="7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</row>
    <row r="820">
      <c r="A820" s="7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</row>
    <row r="821">
      <c r="A821" s="7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</row>
    <row r="822">
      <c r="A822" s="7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</row>
    <row r="823">
      <c r="A823" s="7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</row>
    <row r="824">
      <c r="A824" s="7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</row>
    <row r="825">
      <c r="A825" s="7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</row>
    <row r="826">
      <c r="A826" s="7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</row>
    <row r="827">
      <c r="A827" s="7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</row>
    <row r="828">
      <c r="A828" s="7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</row>
    <row r="829">
      <c r="A829" s="7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</row>
    <row r="830">
      <c r="A830" s="7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</row>
    <row r="831">
      <c r="A831" s="7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</row>
    <row r="832">
      <c r="A832" s="7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</row>
    <row r="833">
      <c r="A833" s="7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</row>
    <row r="834">
      <c r="A834" s="7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</row>
    <row r="835">
      <c r="A835" s="7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</row>
    <row r="836">
      <c r="A836" s="7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</row>
    <row r="837">
      <c r="A837" s="7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</row>
    <row r="838">
      <c r="A838" s="7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</row>
    <row r="839">
      <c r="A839" s="7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</row>
    <row r="840">
      <c r="A840" s="7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</row>
    <row r="841">
      <c r="A841" s="7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</row>
    <row r="842">
      <c r="A842" s="7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</row>
    <row r="843">
      <c r="A843" s="7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</row>
    <row r="844">
      <c r="A844" s="7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</row>
    <row r="845">
      <c r="A845" s="7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</row>
    <row r="846">
      <c r="A846" s="7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</row>
    <row r="847">
      <c r="A847" s="7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</row>
    <row r="848">
      <c r="A848" s="7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</row>
    <row r="849">
      <c r="A849" s="7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</row>
    <row r="850">
      <c r="A850" s="7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</row>
    <row r="851">
      <c r="A851" s="7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</row>
    <row r="852">
      <c r="A852" s="7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</row>
    <row r="853">
      <c r="A853" s="7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</row>
    <row r="854">
      <c r="A854" s="7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</row>
    <row r="855">
      <c r="A855" s="7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</row>
    <row r="856">
      <c r="A856" s="7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</row>
    <row r="857">
      <c r="A857" s="7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</row>
    <row r="858">
      <c r="A858" s="7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</row>
    <row r="859">
      <c r="A859" s="7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</row>
    <row r="860">
      <c r="A860" s="7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</row>
    <row r="861">
      <c r="A861" s="7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</row>
    <row r="862">
      <c r="A862" s="7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</row>
    <row r="863">
      <c r="A863" s="7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</row>
    <row r="864">
      <c r="A864" s="7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</row>
    <row r="865">
      <c r="A865" s="7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</row>
    <row r="866">
      <c r="A866" s="7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</row>
    <row r="867">
      <c r="A867" s="7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</row>
    <row r="868">
      <c r="A868" s="7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</row>
    <row r="869">
      <c r="A869" s="7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</row>
    <row r="870">
      <c r="A870" s="7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</row>
    <row r="871">
      <c r="A871" s="7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</row>
    <row r="872">
      <c r="A872" s="7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</row>
    <row r="873">
      <c r="A873" s="7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</row>
    <row r="874">
      <c r="A874" s="7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</row>
    <row r="875">
      <c r="A875" s="7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</row>
    <row r="876">
      <c r="A876" s="7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</row>
    <row r="877">
      <c r="A877" s="7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</row>
    <row r="878">
      <c r="A878" s="7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</row>
    <row r="879">
      <c r="A879" s="7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</row>
    <row r="880">
      <c r="A880" s="7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</row>
    <row r="881">
      <c r="A881" s="7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</row>
    <row r="882">
      <c r="A882" s="7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</row>
    <row r="883">
      <c r="A883" s="7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</row>
    <row r="884">
      <c r="A884" s="7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</row>
    <row r="885">
      <c r="A885" s="7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</row>
    <row r="886">
      <c r="A886" s="7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</row>
    <row r="887">
      <c r="A887" s="7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</row>
    <row r="888">
      <c r="A888" s="7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</row>
    <row r="889">
      <c r="A889" s="7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</row>
    <row r="890">
      <c r="A890" s="7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</row>
    <row r="891">
      <c r="A891" s="7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</row>
    <row r="892">
      <c r="A892" s="7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</row>
    <row r="893">
      <c r="A893" s="7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</row>
    <row r="894">
      <c r="A894" s="7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</row>
    <row r="895">
      <c r="A895" s="7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</row>
    <row r="896">
      <c r="A896" s="7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</row>
    <row r="897">
      <c r="A897" s="7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</row>
    <row r="898">
      <c r="A898" s="7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</row>
    <row r="899">
      <c r="A899" s="7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</row>
    <row r="900">
      <c r="A900" s="7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</row>
    <row r="901">
      <c r="A901" s="7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</row>
    <row r="902">
      <c r="A902" s="7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</row>
    <row r="903">
      <c r="A903" s="7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</row>
    <row r="904">
      <c r="A904" s="7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</row>
    <row r="905">
      <c r="A905" s="7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</row>
    <row r="906">
      <c r="A906" s="7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</row>
    <row r="907">
      <c r="A907" s="7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</row>
    <row r="908">
      <c r="A908" s="7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</row>
    <row r="909">
      <c r="A909" s="7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</row>
    <row r="910">
      <c r="A910" s="7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</row>
    <row r="911">
      <c r="A911" s="7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</row>
    <row r="912">
      <c r="A912" s="7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</row>
    <row r="913">
      <c r="A913" s="7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</row>
    <row r="914">
      <c r="A914" s="7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</row>
    <row r="915">
      <c r="A915" s="7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</row>
    <row r="916">
      <c r="A916" s="7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</row>
    <row r="917">
      <c r="A917" s="7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</row>
    <row r="918">
      <c r="A918" s="7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</row>
    <row r="919">
      <c r="A919" s="7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</row>
    <row r="920">
      <c r="A920" s="7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</row>
    <row r="921">
      <c r="A921" s="7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</row>
    <row r="922">
      <c r="A922" s="7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</row>
    <row r="923">
      <c r="A923" s="7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</row>
    <row r="924">
      <c r="A924" s="7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</row>
    <row r="925">
      <c r="A925" s="7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</row>
    <row r="926">
      <c r="A926" s="7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</row>
    <row r="927">
      <c r="A927" s="7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</row>
    <row r="928">
      <c r="A928" s="7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</row>
    <row r="929">
      <c r="A929" s="7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</row>
    <row r="930">
      <c r="A930" s="7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</row>
    <row r="931">
      <c r="A931" s="7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</row>
    <row r="932">
      <c r="A932" s="7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</row>
    <row r="933">
      <c r="A933" s="7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</row>
    <row r="934">
      <c r="A934" s="7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</row>
    <row r="935">
      <c r="A935" s="7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</row>
    <row r="936">
      <c r="A936" s="7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</row>
    <row r="937">
      <c r="A937" s="7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</row>
    <row r="938">
      <c r="A938" s="7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</row>
    <row r="939">
      <c r="A939" s="7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</row>
    <row r="940">
      <c r="A940" s="7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</row>
    <row r="941">
      <c r="A941" s="7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</row>
    <row r="942">
      <c r="A942" s="7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</row>
    <row r="943">
      <c r="A943" s="7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</row>
    <row r="944">
      <c r="A944" s="7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</row>
    <row r="945">
      <c r="A945" s="7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</row>
    <row r="946">
      <c r="A946" s="7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</row>
    <row r="947">
      <c r="A947" s="7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</row>
    <row r="948">
      <c r="A948" s="7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</row>
    <row r="949">
      <c r="A949" s="7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</row>
    <row r="950">
      <c r="A950" s="7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</row>
    <row r="951">
      <c r="A951" s="7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</row>
    <row r="952">
      <c r="A952" s="7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</row>
    <row r="953">
      <c r="A953" s="7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</row>
    <row r="954">
      <c r="A954" s="7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</row>
    <row r="955">
      <c r="A955" s="7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</row>
    <row r="956">
      <c r="A956" s="7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</row>
    <row r="957">
      <c r="A957" s="7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</row>
    <row r="958">
      <c r="A958" s="7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</row>
    <row r="959">
      <c r="A959" s="7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</row>
    <row r="960">
      <c r="A960" s="7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</row>
    <row r="961">
      <c r="A961" s="7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</row>
    <row r="962">
      <c r="A962" s="7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</row>
    <row r="963">
      <c r="A963" s="7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</row>
    <row r="964">
      <c r="A964" s="7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</row>
    <row r="965">
      <c r="A965" s="7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</row>
    <row r="966">
      <c r="A966" s="7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</row>
    <row r="967">
      <c r="A967" s="7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</row>
    <row r="968">
      <c r="A968" s="7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</row>
    <row r="969">
      <c r="A969" s="7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</row>
    <row r="970">
      <c r="A970" s="7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</row>
    <row r="971">
      <c r="A971" s="7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</row>
    <row r="972">
      <c r="A972" s="7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</row>
    <row r="973">
      <c r="A973" s="7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</row>
    <row r="974">
      <c r="A974" s="7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</row>
    <row r="975">
      <c r="A975" s="7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</row>
    <row r="976">
      <c r="A976" s="7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</row>
    <row r="977">
      <c r="A977" s="7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</row>
    <row r="978">
      <c r="A978" s="7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</row>
    <row r="979">
      <c r="A979" s="7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</row>
    <row r="980">
      <c r="A980" s="7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33.57"/>
    <col customWidth="1" min="2" max="19" width="10.29"/>
    <col customWidth="1" min="20" max="25" width="8.71"/>
  </cols>
  <sheetData>
    <row r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>
      <c r="A2" s="21" t="s">
        <v>133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>
      <c r="A3" s="4" t="s">
        <v>50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>
      <c r="A4" s="7"/>
      <c r="B4" s="7"/>
      <c r="C4" s="7"/>
      <c r="D4" s="7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>
      <c r="A5" s="9"/>
      <c r="B5" s="11">
        <v>42736.0</v>
      </c>
      <c r="C5" s="11">
        <f t="shared" ref="C5:S5" si="1">date(year(B5),month(B5)+1,day(B5))</f>
        <v>42767</v>
      </c>
      <c r="D5" s="11">
        <f t="shared" si="1"/>
        <v>42795</v>
      </c>
      <c r="E5" s="11">
        <f t="shared" si="1"/>
        <v>42826</v>
      </c>
      <c r="F5" s="11">
        <f t="shared" si="1"/>
        <v>42856</v>
      </c>
      <c r="G5" s="11">
        <f t="shared" si="1"/>
        <v>42887</v>
      </c>
      <c r="H5" s="11">
        <f t="shared" si="1"/>
        <v>42917</v>
      </c>
      <c r="I5" s="11">
        <f t="shared" si="1"/>
        <v>42948</v>
      </c>
      <c r="J5" s="11">
        <f t="shared" si="1"/>
        <v>42979</v>
      </c>
      <c r="K5" s="11">
        <f t="shared" si="1"/>
        <v>43009</v>
      </c>
      <c r="L5" s="11">
        <f t="shared" si="1"/>
        <v>43040</v>
      </c>
      <c r="M5" s="11">
        <f t="shared" si="1"/>
        <v>43070</v>
      </c>
      <c r="N5" s="11">
        <f t="shared" si="1"/>
        <v>43101</v>
      </c>
      <c r="O5" s="11">
        <f t="shared" si="1"/>
        <v>43132</v>
      </c>
      <c r="P5" s="11">
        <f t="shared" si="1"/>
        <v>43160</v>
      </c>
      <c r="Q5" s="11">
        <f t="shared" si="1"/>
        <v>43191</v>
      </c>
      <c r="R5" s="11">
        <f t="shared" si="1"/>
        <v>43221</v>
      </c>
      <c r="S5" s="11">
        <f t="shared" si="1"/>
        <v>43252</v>
      </c>
    </row>
    <row r="6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>
      <c r="A7" s="27" t="s">
        <v>134</v>
      </c>
      <c r="B7" s="13"/>
      <c r="C7" s="13"/>
      <c r="D7" s="13"/>
      <c r="E7" s="13"/>
      <c r="F7" s="13"/>
      <c r="G7" s="20">
        <v>1000.0</v>
      </c>
      <c r="H7" s="13">
        <f t="shared" ref="H7:S7" si="2">G7</f>
        <v>1000</v>
      </c>
      <c r="I7" s="13">
        <f t="shared" si="2"/>
        <v>1000</v>
      </c>
      <c r="J7" s="13">
        <f t="shared" si="2"/>
        <v>1000</v>
      </c>
      <c r="K7" s="13">
        <f t="shared" si="2"/>
        <v>1000</v>
      </c>
      <c r="L7" s="13">
        <f t="shared" si="2"/>
        <v>1000</v>
      </c>
      <c r="M7" s="13">
        <f t="shared" si="2"/>
        <v>1000</v>
      </c>
      <c r="N7" s="13">
        <f t="shared" si="2"/>
        <v>1000</v>
      </c>
      <c r="O7" s="13">
        <f t="shared" si="2"/>
        <v>1000</v>
      </c>
      <c r="P7" s="13">
        <f t="shared" si="2"/>
        <v>1000</v>
      </c>
      <c r="Q7" s="13">
        <f t="shared" si="2"/>
        <v>1000</v>
      </c>
      <c r="R7" s="13">
        <f t="shared" si="2"/>
        <v>1000</v>
      </c>
      <c r="S7" s="13">
        <f t="shared" si="2"/>
        <v>1000</v>
      </c>
      <c r="T7" s="13"/>
      <c r="U7" s="13"/>
      <c r="V7" s="13"/>
      <c r="W7" s="13"/>
      <c r="X7" s="13"/>
      <c r="Y7" s="13"/>
    </row>
    <row r="8">
      <c r="A8" s="27" t="s">
        <v>135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20">
        <v>500.0</v>
      </c>
      <c r="M8" s="20">
        <v>500.0</v>
      </c>
      <c r="N8" s="13"/>
      <c r="O8" s="13"/>
      <c r="P8" s="13"/>
      <c r="Q8" s="13"/>
      <c r="R8" s="13"/>
      <c r="S8" s="13"/>
    </row>
    <row r="9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>
      <c r="A11" s="32" t="s">
        <v>136</v>
      </c>
      <c r="B11" s="33">
        <f t="shared" ref="B11:S11" si="3">sum(B6:B10)</f>
        <v>0</v>
      </c>
      <c r="C11" s="33">
        <f t="shared" si="3"/>
        <v>0</v>
      </c>
      <c r="D11" s="33">
        <f t="shared" si="3"/>
        <v>0</v>
      </c>
      <c r="E11" s="33">
        <f t="shared" si="3"/>
        <v>0</v>
      </c>
      <c r="F11" s="33">
        <f t="shared" si="3"/>
        <v>0</v>
      </c>
      <c r="G11" s="33">
        <f t="shared" si="3"/>
        <v>1000</v>
      </c>
      <c r="H11" s="33">
        <f t="shared" si="3"/>
        <v>1000</v>
      </c>
      <c r="I11" s="33">
        <f t="shared" si="3"/>
        <v>1000</v>
      </c>
      <c r="J11" s="33">
        <f t="shared" si="3"/>
        <v>1000</v>
      </c>
      <c r="K11" s="33">
        <f t="shared" si="3"/>
        <v>1000</v>
      </c>
      <c r="L11" s="33">
        <f t="shared" si="3"/>
        <v>1500</v>
      </c>
      <c r="M11" s="33">
        <f t="shared" si="3"/>
        <v>1500</v>
      </c>
      <c r="N11" s="33">
        <f t="shared" si="3"/>
        <v>1000</v>
      </c>
      <c r="O11" s="33">
        <f t="shared" si="3"/>
        <v>1000</v>
      </c>
      <c r="P11" s="33">
        <f t="shared" si="3"/>
        <v>1000</v>
      </c>
      <c r="Q11" s="33">
        <f t="shared" si="3"/>
        <v>1000</v>
      </c>
      <c r="R11" s="33">
        <f t="shared" si="3"/>
        <v>1000</v>
      </c>
      <c r="S11" s="33">
        <f t="shared" si="3"/>
        <v>1000</v>
      </c>
      <c r="T11" s="13"/>
      <c r="U11" s="13"/>
      <c r="V11" s="13"/>
      <c r="W11" s="13"/>
      <c r="X11" s="13"/>
      <c r="Y11" s="13"/>
    </row>
    <row r="1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>
      <c r="A18" s="27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>
      <c r="A65" s="7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33.57"/>
    <col customWidth="1" min="2" max="19" width="10.29"/>
    <col customWidth="1" min="20" max="25" width="8.71"/>
  </cols>
  <sheetData>
    <row r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>
      <c r="A2" s="21" t="s">
        <v>133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>
      <c r="A3" s="4" t="s">
        <v>50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>
      <c r="A4" s="7"/>
      <c r="B4" s="7"/>
      <c r="C4" s="7"/>
      <c r="D4" s="7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>
      <c r="A5" s="9"/>
      <c r="B5" s="11">
        <v>42736.0</v>
      </c>
      <c r="C5" s="11">
        <f t="shared" ref="C5:S5" si="1">date(year(B5),month(B5)+1,day(B5))</f>
        <v>42767</v>
      </c>
      <c r="D5" s="11">
        <f t="shared" si="1"/>
        <v>42795</v>
      </c>
      <c r="E5" s="11">
        <f t="shared" si="1"/>
        <v>42826</v>
      </c>
      <c r="F5" s="11">
        <f t="shared" si="1"/>
        <v>42856</v>
      </c>
      <c r="G5" s="11">
        <f t="shared" si="1"/>
        <v>42887</v>
      </c>
      <c r="H5" s="11">
        <f t="shared" si="1"/>
        <v>42917</v>
      </c>
      <c r="I5" s="11">
        <f t="shared" si="1"/>
        <v>42948</v>
      </c>
      <c r="J5" s="11">
        <f t="shared" si="1"/>
        <v>42979</v>
      </c>
      <c r="K5" s="11">
        <f t="shared" si="1"/>
        <v>43009</v>
      </c>
      <c r="L5" s="11">
        <f t="shared" si="1"/>
        <v>43040</v>
      </c>
      <c r="M5" s="11">
        <f t="shared" si="1"/>
        <v>43070</v>
      </c>
      <c r="N5" s="11">
        <f t="shared" si="1"/>
        <v>43101</v>
      </c>
      <c r="O5" s="11">
        <f t="shared" si="1"/>
        <v>43132</v>
      </c>
      <c r="P5" s="11">
        <f t="shared" si="1"/>
        <v>43160</v>
      </c>
      <c r="Q5" s="11">
        <f t="shared" si="1"/>
        <v>43191</v>
      </c>
      <c r="R5" s="11">
        <f t="shared" si="1"/>
        <v>43221</v>
      </c>
      <c r="S5" s="11">
        <f t="shared" si="1"/>
        <v>43252</v>
      </c>
    </row>
    <row r="6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>
      <c r="A7" s="27" t="s">
        <v>134</v>
      </c>
      <c r="B7" s="13"/>
      <c r="C7" s="13"/>
      <c r="D7" s="13"/>
      <c r="E7" s="13"/>
      <c r="F7" s="13"/>
      <c r="G7" s="20">
        <v>1000.0</v>
      </c>
      <c r="H7" s="13">
        <f t="shared" ref="H7:S7" si="2">G7</f>
        <v>1000</v>
      </c>
      <c r="I7" s="13">
        <f t="shared" si="2"/>
        <v>1000</v>
      </c>
      <c r="J7" s="13">
        <f t="shared" si="2"/>
        <v>1000</v>
      </c>
      <c r="K7" s="13">
        <f t="shared" si="2"/>
        <v>1000</v>
      </c>
      <c r="L7" s="13">
        <f t="shared" si="2"/>
        <v>1000</v>
      </c>
      <c r="M7" s="13">
        <f t="shared" si="2"/>
        <v>1000</v>
      </c>
      <c r="N7" s="13">
        <f t="shared" si="2"/>
        <v>1000</v>
      </c>
      <c r="O7" s="13">
        <f t="shared" si="2"/>
        <v>1000</v>
      </c>
      <c r="P7" s="13">
        <f t="shared" si="2"/>
        <v>1000</v>
      </c>
      <c r="Q7" s="13">
        <f t="shared" si="2"/>
        <v>1000</v>
      </c>
      <c r="R7" s="13">
        <f t="shared" si="2"/>
        <v>1000</v>
      </c>
      <c r="S7" s="13">
        <f t="shared" si="2"/>
        <v>1000</v>
      </c>
      <c r="T7" s="13"/>
      <c r="U7" s="13"/>
      <c r="V7" s="13"/>
      <c r="W7" s="13"/>
      <c r="X7" s="13"/>
      <c r="Y7" s="13"/>
    </row>
    <row r="8">
      <c r="A8" s="27" t="s">
        <v>135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20">
        <v>500.0</v>
      </c>
      <c r="M8" s="20">
        <v>500.0</v>
      </c>
      <c r="N8" s="13"/>
      <c r="O8" s="13"/>
      <c r="P8" s="13"/>
      <c r="Q8" s="13"/>
      <c r="R8" s="13"/>
      <c r="S8" s="13"/>
    </row>
    <row r="9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>
      <c r="A11" s="32" t="s">
        <v>136</v>
      </c>
      <c r="B11" s="33">
        <f t="shared" ref="B11:S11" si="3">sum(B6:B10)</f>
        <v>0</v>
      </c>
      <c r="C11" s="33">
        <f t="shared" si="3"/>
        <v>0</v>
      </c>
      <c r="D11" s="33">
        <f t="shared" si="3"/>
        <v>0</v>
      </c>
      <c r="E11" s="33">
        <f t="shared" si="3"/>
        <v>0</v>
      </c>
      <c r="F11" s="33">
        <f t="shared" si="3"/>
        <v>0</v>
      </c>
      <c r="G11" s="33">
        <f t="shared" si="3"/>
        <v>1000</v>
      </c>
      <c r="H11" s="33">
        <f t="shared" si="3"/>
        <v>1000</v>
      </c>
      <c r="I11" s="33">
        <f t="shared" si="3"/>
        <v>1000</v>
      </c>
      <c r="J11" s="33">
        <f t="shared" si="3"/>
        <v>1000</v>
      </c>
      <c r="K11" s="33">
        <f t="shared" si="3"/>
        <v>1000</v>
      </c>
      <c r="L11" s="33">
        <f t="shared" si="3"/>
        <v>1500</v>
      </c>
      <c r="M11" s="33">
        <f t="shared" si="3"/>
        <v>1500</v>
      </c>
      <c r="N11" s="33">
        <f t="shared" si="3"/>
        <v>1000</v>
      </c>
      <c r="O11" s="33">
        <f t="shared" si="3"/>
        <v>1000</v>
      </c>
      <c r="P11" s="33">
        <f t="shared" si="3"/>
        <v>1000</v>
      </c>
      <c r="Q11" s="33">
        <f t="shared" si="3"/>
        <v>1000</v>
      </c>
      <c r="R11" s="33">
        <f t="shared" si="3"/>
        <v>1000</v>
      </c>
      <c r="S11" s="33">
        <f t="shared" si="3"/>
        <v>1000</v>
      </c>
      <c r="T11" s="13"/>
      <c r="U11" s="13"/>
      <c r="V11" s="13"/>
      <c r="W11" s="13"/>
      <c r="X11" s="13"/>
      <c r="Y11" s="13"/>
    </row>
    <row r="1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>
      <c r="A18" s="27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>
      <c r="A65" s="7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33.57"/>
    <col customWidth="1" min="2" max="19" width="10.29"/>
    <col customWidth="1" min="20" max="25" width="8.71"/>
  </cols>
  <sheetData>
    <row r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>
      <c r="A2" s="2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>
      <c r="A3" s="4" t="s">
        <v>50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>
      <c r="A4" s="7"/>
      <c r="B4" s="7"/>
      <c r="C4" s="7"/>
      <c r="D4" s="7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>
      <c r="A5" s="9"/>
      <c r="B5" s="11">
        <v>42736.0</v>
      </c>
      <c r="C5" s="11">
        <f t="shared" ref="C5:S5" si="1">date(year(B5),month(B5)+1,day(B5))</f>
        <v>42767</v>
      </c>
      <c r="D5" s="11">
        <f t="shared" si="1"/>
        <v>42795</v>
      </c>
      <c r="E5" s="11">
        <f t="shared" si="1"/>
        <v>42826</v>
      </c>
      <c r="F5" s="11">
        <f t="shared" si="1"/>
        <v>42856</v>
      </c>
      <c r="G5" s="11">
        <f t="shared" si="1"/>
        <v>42887</v>
      </c>
      <c r="H5" s="11">
        <f t="shared" si="1"/>
        <v>42917</v>
      </c>
      <c r="I5" s="11">
        <f t="shared" si="1"/>
        <v>42948</v>
      </c>
      <c r="J5" s="11">
        <f t="shared" si="1"/>
        <v>42979</v>
      </c>
      <c r="K5" s="11">
        <f t="shared" si="1"/>
        <v>43009</v>
      </c>
      <c r="L5" s="11">
        <f t="shared" si="1"/>
        <v>43040</v>
      </c>
      <c r="M5" s="11">
        <f t="shared" si="1"/>
        <v>43070</v>
      </c>
      <c r="N5" s="11">
        <f t="shared" si="1"/>
        <v>43101</v>
      </c>
      <c r="O5" s="11">
        <f t="shared" si="1"/>
        <v>43132</v>
      </c>
      <c r="P5" s="11">
        <f t="shared" si="1"/>
        <v>43160</v>
      </c>
      <c r="Q5" s="11">
        <f t="shared" si="1"/>
        <v>43191</v>
      </c>
      <c r="R5" s="11">
        <f t="shared" si="1"/>
        <v>43221</v>
      </c>
      <c r="S5" s="11">
        <f t="shared" si="1"/>
        <v>43252</v>
      </c>
    </row>
    <row r="6">
      <c r="A6" s="32" t="s">
        <v>137</v>
      </c>
      <c r="B6" s="33"/>
      <c r="C6" s="33">
        <f t="shared" ref="C6:S6" si="2">B11</f>
        <v>0</v>
      </c>
      <c r="D6" s="33">
        <f t="shared" si="2"/>
        <v>0</v>
      </c>
      <c r="E6" s="33">
        <f t="shared" si="2"/>
        <v>0</v>
      </c>
      <c r="F6" s="33">
        <f t="shared" si="2"/>
        <v>0</v>
      </c>
      <c r="G6" s="33">
        <f t="shared" si="2"/>
        <v>0</v>
      </c>
      <c r="H6" s="33">
        <f t="shared" si="2"/>
        <v>0</v>
      </c>
      <c r="I6" s="33">
        <f t="shared" si="2"/>
        <v>0</v>
      </c>
      <c r="J6" s="33">
        <f t="shared" si="2"/>
        <v>0</v>
      </c>
      <c r="K6" s="33">
        <f t="shared" si="2"/>
        <v>0</v>
      </c>
      <c r="L6" s="33">
        <f t="shared" si="2"/>
        <v>0</v>
      </c>
      <c r="M6" s="33">
        <f t="shared" si="2"/>
        <v>0</v>
      </c>
      <c r="N6" s="33">
        <f t="shared" si="2"/>
        <v>0</v>
      </c>
      <c r="O6" s="33">
        <f t="shared" si="2"/>
        <v>0</v>
      </c>
      <c r="P6" s="33">
        <f t="shared" si="2"/>
        <v>0</v>
      </c>
      <c r="Q6" s="33">
        <f t="shared" si="2"/>
        <v>0</v>
      </c>
      <c r="R6" s="33">
        <f t="shared" si="2"/>
        <v>0</v>
      </c>
      <c r="S6" s="33">
        <f t="shared" si="2"/>
        <v>0</v>
      </c>
    </row>
    <row r="7">
      <c r="A7" s="27"/>
      <c r="B7" s="13"/>
      <c r="C7" s="13"/>
      <c r="D7" s="13"/>
      <c r="E7" s="13"/>
      <c r="F7" s="13"/>
      <c r="G7" s="20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>
      <c r="A8" s="27"/>
      <c r="B8" s="13"/>
      <c r="C8" s="13"/>
      <c r="D8" s="13"/>
      <c r="E8" s="13"/>
      <c r="F8" s="13"/>
      <c r="G8" s="13"/>
      <c r="H8" s="13"/>
      <c r="I8" s="13"/>
      <c r="J8" s="13"/>
      <c r="K8" s="13"/>
      <c r="L8" s="20"/>
      <c r="M8" s="20"/>
      <c r="N8" s="13"/>
      <c r="O8" s="13"/>
      <c r="P8" s="13"/>
      <c r="Q8" s="13"/>
      <c r="R8" s="13"/>
      <c r="S8" s="13"/>
    </row>
    <row r="9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>
      <c r="A11" s="32" t="s">
        <v>138</v>
      </c>
      <c r="B11" s="33">
        <f t="shared" ref="B11:S11" si="3">sum(B6:B10)</f>
        <v>0</v>
      </c>
      <c r="C11" s="33">
        <f t="shared" si="3"/>
        <v>0</v>
      </c>
      <c r="D11" s="33">
        <f t="shared" si="3"/>
        <v>0</v>
      </c>
      <c r="E11" s="33">
        <f t="shared" si="3"/>
        <v>0</v>
      </c>
      <c r="F11" s="33">
        <f t="shared" si="3"/>
        <v>0</v>
      </c>
      <c r="G11" s="33">
        <f t="shared" si="3"/>
        <v>0</v>
      </c>
      <c r="H11" s="33">
        <f t="shared" si="3"/>
        <v>0</v>
      </c>
      <c r="I11" s="33">
        <f t="shared" si="3"/>
        <v>0</v>
      </c>
      <c r="J11" s="33">
        <f t="shared" si="3"/>
        <v>0</v>
      </c>
      <c r="K11" s="33">
        <f t="shared" si="3"/>
        <v>0</v>
      </c>
      <c r="L11" s="33">
        <f t="shared" si="3"/>
        <v>0</v>
      </c>
      <c r="M11" s="33">
        <f t="shared" si="3"/>
        <v>0</v>
      </c>
      <c r="N11" s="33">
        <f t="shared" si="3"/>
        <v>0</v>
      </c>
      <c r="O11" s="33">
        <f t="shared" si="3"/>
        <v>0</v>
      </c>
      <c r="P11" s="33">
        <f t="shared" si="3"/>
        <v>0</v>
      </c>
      <c r="Q11" s="33">
        <f t="shared" si="3"/>
        <v>0</v>
      </c>
      <c r="R11" s="33">
        <f t="shared" si="3"/>
        <v>0</v>
      </c>
      <c r="S11" s="33">
        <f t="shared" si="3"/>
        <v>0</v>
      </c>
      <c r="T11" s="13"/>
      <c r="U11" s="13"/>
      <c r="V11" s="13"/>
      <c r="W11" s="13"/>
      <c r="X11" s="13"/>
      <c r="Y11" s="13"/>
    </row>
    <row r="1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>
      <c r="A18" s="27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>
      <c r="A65" s="7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33.57"/>
    <col customWidth="1" min="2" max="19" width="10.29"/>
    <col customWidth="1" min="20" max="25" width="8.71"/>
  </cols>
  <sheetData>
    <row r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>
      <c r="A2" s="2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>
      <c r="A3" s="4" t="s">
        <v>50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>
      <c r="A4" s="7"/>
      <c r="B4" s="7"/>
      <c r="C4" s="7"/>
      <c r="D4" s="7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>
      <c r="A5" s="9"/>
      <c r="B5" s="11">
        <v>42736.0</v>
      </c>
      <c r="C5" s="11">
        <f t="shared" ref="C5:S5" si="1">date(year(B5),month(B5)+1,day(B5))</f>
        <v>42767</v>
      </c>
      <c r="D5" s="11">
        <f t="shared" si="1"/>
        <v>42795</v>
      </c>
      <c r="E5" s="11">
        <f t="shared" si="1"/>
        <v>42826</v>
      </c>
      <c r="F5" s="11">
        <f t="shared" si="1"/>
        <v>42856</v>
      </c>
      <c r="G5" s="11">
        <f t="shared" si="1"/>
        <v>42887</v>
      </c>
      <c r="H5" s="11">
        <f t="shared" si="1"/>
        <v>42917</v>
      </c>
      <c r="I5" s="11">
        <f t="shared" si="1"/>
        <v>42948</v>
      </c>
      <c r="J5" s="11">
        <f t="shared" si="1"/>
        <v>42979</v>
      </c>
      <c r="K5" s="11">
        <f t="shared" si="1"/>
        <v>43009</v>
      </c>
      <c r="L5" s="11">
        <f t="shared" si="1"/>
        <v>43040</v>
      </c>
      <c r="M5" s="11">
        <f t="shared" si="1"/>
        <v>43070</v>
      </c>
      <c r="N5" s="11">
        <f t="shared" si="1"/>
        <v>43101</v>
      </c>
      <c r="O5" s="11">
        <f t="shared" si="1"/>
        <v>43132</v>
      </c>
      <c r="P5" s="11">
        <f t="shared" si="1"/>
        <v>43160</v>
      </c>
      <c r="Q5" s="11">
        <f t="shared" si="1"/>
        <v>43191</v>
      </c>
      <c r="R5" s="11">
        <f t="shared" si="1"/>
        <v>43221</v>
      </c>
      <c r="S5" s="11">
        <f t="shared" si="1"/>
        <v>43252</v>
      </c>
    </row>
    <row r="6">
      <c r="A6" s="32" t="s">
        <v>137</v>
      </c>
      <c r="B6" s="33"/>
      <c r="C6" s="33">
        <f t="shared" ref="C6:E6" si="2">B11</f>
        <v>0</v>
      </c>
      <c r="D6" s="33">
        <f t="shared" si="2"/>
        <v>0</v>
      </c>
      <c r="E6" s="33">
        <f t="shared" si="2"/>
        <v>0</v>
      </c>
      <c r="F6" s="33">
        <v>123.72</v>
      </c>
      <c r="G6" s="33">
        <f t="shared" ref="G6:S6" si="3">F11</f>
        <v>123.72</v>
      </c>
      <c r="H6" s="33">
        <f t="shared" si="3"/>
        <v>1123.72</v>
      </c>
      <c r="I6" s="33">
        <f t="shared" si="3"/>
        <v>1123.72</v>
      </c>
      <c r="J6" s="33">
        <f t="shared" si="3"/>
        <v>1123.72</v>
      </c>
      <c r="K6" s="33">
        <f t="shared" si="3"/>
        <v>1123.72</v>
      </c>
      <c r="L6" s="33">
        <f t="shared" si="3"/>
        <v>1123.72</v>
      </c>
      <c r="M6" s="33">
        <f t="shared" si="3"/>
        <v>1123.72</v>
      </c>
      <c r="N6" s="33">
        <f t="shared" si="3"/>
        <v>1123.72</v>
      </c>
      <c r="O6" s="33">
        <f t="shared" si="3"/>
        <v>1123.72</v>
      </c>
      <c r="P6" s="33">
        <f t="shared" si="3"/>
        <v>1123.72</v>
      </c>
      <c r="Q6" s="33">
        <f t="shared" si="3"/>
        <v>1123.72</v>
      </c>
      <c r="R6" s="33">
        <f t="shared" si="3"/>
        <v>1123.72</v>
      </c>
      <c r="S6" s="33">
        <f t="shared" si="3"/>
        <v>1123.72</v>
      </c>
    </row>
    <row r="7">
      <c r="A7" s="27" t="s">
        <v>139</v>
      </c>
      <c r="B7" s="13"/>
      <c r="C7" s="13"/>
      <c r="D7" s="13"/>
      <c r="E7" s="13"/>
      <c r="F7" s="13"/>
      <c r="G7" s="20">
        <v>1000.0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>
      <c r="A8" s="27"/>
      <c r="B8" s="13"/>
      <c r="C8" s="13"/>
      <c r="D8" s="13"/>
      <c r="E8" s="13"/>
      <c r="F8" s="13"/>
      <c r="G8" s="13"/>
      <c r="H8" s="13"/>
      <c r="I8" s="13"/>
      <c r="J8" s="13"/>
      <c r="K8" s="13"/>
      <c r="L8" s="20"/>
      <c r="M8" s="20"/>
      <c r="N8" s="13"/>
      <c r="O8" s="13"/>
      <c r="P8" s="13"/>
      <c r="Q8" s="13"/>
      <c r="R8" s="13"/>
      <c r="S8" s="13"/>
    </row>
    <row r="9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>
      <c r="A11" s="32" t="s">
        <v>138</v>
      </c>
      <c r="B11" s="33">
        <f t="shared" ref="B11:S11" si="4">sum(B6:B10)</f>
        <v>0</v>
      </c>
      <c r="C11" s="33">
        <f t="shared" si="4"/>
        <v>0</v>
      </c>
      <c r="D11" s="33">
        <f t="shared" si="4"/>
        <v>0</v>
      </c>
      <c r="E11" s="33">
        <f t="shared" si="4"/>
        <v>0</v>
      </c>
      <c r="F11" s="33">
        <f t="shared" si="4"/>
        <v>123.72</v>
      </c>
      <c r="G11" s="33">
        <f t="shared" si="4"/>
        <v>1123.72</v>
      </c>
      <c r="H11" s="33">
        <f t="shared" si="4"/>
        <v>1123.72</v>
      </c>
      <c r="I11" s="33">
        <f t="shared" si="4"/>
        <v>1123.72</v>
      </c>
      <c r="J11" s="33">
        <f t="shared" si="4"/>
        <v>1123.72</v>
      </c>
      <c r="K11" s="33">
        <f t="shared" si="4"/>
        <v>1123.72</v>
      </c>
      <c r="L11" s="33">
        <f t="shared" si="4"/>
        <v>1123.72</v>
      </c>
      <c r="M11" s="33">
        <f t="shared" si="4"/>
        <v>1123.72</v>
      </c>
      <c r="N11" s="33">
        <f t="shared" si="4"/>
        <v>1123.72</v>
      </c>
      <c r="O11" s="33">
        <f t="shared" si="4"/>
        <v>1123.72</v>
      </c>
      <c r="P11" s="33">
        <f t="shared" si="4"/>
        <v>1123.72</v>
      </c>
      <c r="Q11" s="33">
        <f t="shared" si="4"/>
        <v>1123.72</v>
      </c>
      <c r="R11" s="33">
        <f t="shared" si="4"/>
        <v>1123.72</v>
      </c>
      <c r="S11" s="33">
        <f t="shared" si="4"/>
        <v>1123.72</v>
      </c>
      <c r="T11" s="13"/>
      <c r="U11" s="13"/>
      <c r="V11" s="13"/>
      <c r="W11" s="13"/>
      <c r="X11" s="13"/>
      <c r="Y11" s="13"/>
    </row>
    <row r="1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>
      <c r="A18" s="27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>
      <c r="A65" s="7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</sheetData>
  <drawing r:id="rId1"/>
</worksheet>
</file>